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305" tabRatio="843"/>
  </bookViews>
  <sheets>
    <sheet name="Summary (2)" sheetId="12" r:id="rId1"/>
    <sheet name="O&amp;M" sheetId="9" r:id="rId2"/>
    <sheet name="Rev from OA" sheetId="15" r:id="rId3"/>
    <sheet name="Note 11 Fixed Assests 23-24" sheetId="13" r:id="rId4"/>
    <sheet name="Note 11 Fixed Assests" sheetId="8" state="hidden" r:id="rId5"/>
    <sheet name="Loan Balances" sheetId="5" r:id="rId6"/>
    <sheet name="Interest Expense" sheetId="4" r:id="rId7"/>
  </sheets>
  <externalReferences>
    <externalReference r:id="rId8"/>
    <externalReference r:id="rId9"/>
    <externalReference r:id="rId10"/>
    <externalReference r:id="rId11"/>
  </externalReferences>
  <definedNames>
    <definedName name="_BSD1" localSheetId="4">#REF!</definedName>
    <definedName name="_BSD1" localSheetId="3">#REF!</definedName>
    <definedName name="_BSD1" localSheetId="0">#REF!</definedName>
    <definedName name="_BSD1">#REF!</definedName>
    <definedName name="_BSD2" localSheetId="4">#REF!</definedName>
    <definedName name="_BSD2" localSheetId="3">#REF!</definedName>
    <definedName name="_BSD2" localSheetId="0">#REF!</definedName>
    <definedName name="_BSD2">#REF!</definedName>
    <definedName name="_xlnm._FilterDatabase" localSheetId="5" hidden="1">'Loan Balances'!$N$3:$N$90</definedName>
    <definedName name="_xlnm._FilterDatabase" localSheetId="1" hidden="1">'O&amp;M'!#REF!</definedName>
    <definedName name="_IED2" localSheetId="4">#REF!</definedName>
    <definedName name="_IED2" localSheetId="3">#REF!</definedName>
    <definedName name="_IED2" localSheetId="0">#REF!</definedName>
    <definedName name="_IED2">#REF!</definedName>
    <definedName name="DATA1" localSheetId="4">[1]Sheet1!#REF!</definedName>
    <definedName name="DATA1" localSheetId="3">[1]Sheet1!#REF!</definedName>
    <definedName name="DATA1" localSheetId="0">[1]Sheet1!#REF!</definedName>
    <definedName name="DATA1">[1]Sheet1!#REF!</definedName>
    <definedName name="Discom1F1" localSheetId="4">#REF!</definedName>
    <definedName name="Discom1F1" localSheetId="3">#REF!</definedName>
    <definedName name="Discom1F1" localSheetId="0">#REF!</definedName>
    <definedName name="Discom1F1">#REF!</definedName>
    <definedName name="Discom1F2" localSheetId="4">#REF!</definedName>
    <definedName name="Discom1F2" localSheetId="3">#REF!</definedName>
    <definedName name="Discom1F2" localSheetId="0">#REF!</definedName>
    <definedName name="Discom1F2">#REF!</definedName>
    <definedName name="Discom1F3" localSheetId="4">#REF!</definedName>
    <definedName name="Discom1F3" localSheetId="3">#REF!</definedName>
    <definedName name="Discom1F3" localSheetId="0">#REF!</definedName>
    <definedName name="Discom1F3">#REF!</definedName>
    <definedName name="Discom1F4" localSheetId="4">#REF!</definedName>
    <definedName name="Discom1F4" localSheetId="3">#REF!</definedName>
    <definedName name="Discom1F4" localSheetId="0">#REF!</definedName>
    <definedName name="Discom1F4">#REF!</definedName>
    <definedName name="Discom1F6" localSheetId="4">#REF!</definedName>
    <definedName name="Discom1F6" localSheetId="3">#REF!</definedName>
    <definedName name="Discom1F6" localSheetId="0">#REF!</definedName>
    <definedName name="Discom1F6">#REF!</definedName>
    <definedName name="Discom2F1" localSheetId="4">#REF!</definedName>
    <definedName name="Discom2F1" localSheetId="3">#REF!</definedName>
    <definedName name="Discom2F1" localSheetId="0">#REF!</definedName>
    <definedName name="Discom2F1">#REF!</definedName>
    <definedName name="Discom2F2" localSheetId="4">#REF!</definedName>
    <definedName name="Discom2F2" localSheetId="3">#REF!</definedName>
    <definedName name="Discom2F2" localSheetId="0">#REF!</definedName>
    <definedName name="Discom2F2">#REF!</definedName>
    <definedName name="Discom2F3" localSheetId="4">#REF!</definedName>
    <definedName name="Discom2F3" localSheetId="3">#REF!</definedName>
    <definedName name="Discom2F3" localSheetId="0">#REF!</definedName>
    <definedName name="Discom2F3">#REF!</definedName>
    <definedName name="Discom2F4" localSheetId="4">#REF!</definedName>
    <definedName name="Discom2F4" localSheetId="3">#REF!</definedName>
    <definedName name="Discom2F4" localSheetId="0">#REF!</definedName>
    <definedName name="Discom2F4">#REF!</definedName>
    <definedName name="Discom2F6" localSheetId="4">#REF!</definedName>
    <definedName name="Discom2F6" localSheetId="3">#REF!</definedName>
    <definedName name="Discom2F6" localSheetId="0">#REF!</definedName>
    <definedName name="Discom2F6">#REF!</definedName>
    <definedName name="List_1">'[2]Long-Term Borrowings'!$K$2:$K$3</definedName>
    <definedName name="_xlnm.Print_Area" localSheetId="5">'Loan Balances'!$A$1:$M$118</definedName>
    <definedName name="_xlnm.Print_Area" localSheetId="4">'Note 11 Fixed Assests'!$B$1:$Q$26</definedName>
    <definedName name="_xlnm.Print_Area" localSheetId="3">'Note 11 Fixed Assests 23-24'!$B$1:$Q$26</definedName>
    <definedName name="_xlnm.Print_Area" localSheetId="2">'Rev from OA'!$A$1:$E$95</definedName>
    <definedName name="_xlnm.Print_Area" localSheetId="0">'Summary (2)'!$B$1:$F$171</definedName>
    <definedName name="_xlnm.Print_Titles" localSheetId="2">'Rev from OA'!$1:$2</definedName>
    <definedName name="TESTKEYS" localSheetId="4">[1]Sheet1!#REF!</definedName>
    <definedName name="TESTKEYS" localSheetId="3">[1]Sheet1!#REF!</definedName>
    <definedName name="TESTKEYS" localSheetId="0">[1]Sheet1!#REF!</definedName>
    <definedName name="TESTKEYS">[1]Sheet1!#REF!</definedName>
    <definedName name="TESTVKEY" localSheetId="4">[1]Sheet1!#REF!</definedName>
    <definedName name="TESTVKEY" localSheetId="0">[1]Sheet1!#REF!</definedName>
    <definedName name="TESTVKEY">[1]Sheet1!#REF!</definedName>
    <definedName name="YEAR" localSheetId="4">#REF!</definedName>
    <definedName name="YEAR" localSheetId="3">#REF!</definedName>
    <definedName name="YEAR" localSheetId="0">#REF!</definedName>
    <definedName name="YEAR">#REF!</definedName>
  </definedNames>
  <calcPr calcId="144525" iterate="1"/>
</workbook>
</file>

<file path=xl/calcChain.xml><?xml version="1.0" encoding="utf-8"?>
<calcChain xmlns="http://schemas.openxmlformats.org/spreadsheetml/2006/main">
  <c r="D2" i="9" l="1"/>
  <c r="D3" i="9"/>
  <c r="D4" i="9"/>
  <c r="D5" i="9"/>
  <c r="D6" i="9"/>
  <c r="E6" i="9" s="1"/>
  <c r="D10" i="9"/>
  <c r="D11" i="9"/>
  <c r="D12" i="9"/>
  <c r="D13" i="9"/>
  <c r="B18" i="9"/>
  <c r="B19" i="9"/>
  <c r="C20" i="9"/>
  <c r="C21" i="9"/>
  <c r="B25" i="9"/>
  <c r="B26" i="9"/>
  <c r="D14" i="9" l="1"/>
  <c r="E14" i="9" s="1"/>
  <c r="J14" i="9" s="1"/>
  <c r="E64" i="12"/>
  <c r="D7" i="12" l="1"/>
  <c r="C169" i="12"/>
  <c r="C151" i="12" l="1"/>
  <c r="D139" i="12"/>
  <c r="C145" i="12" l="1"/>
  <c r="D8" i="12"/>
  <c r="F92" i="12" l="1"/>
  <c r="D99" i="12" s="1"/>
  <c r="D101" i="12" s="1"/>
  <c r="D95" i="15" l="1"/>
  <c r="E95" i="15" s="1"/>
  <c r="C95" i="15"/>
  <c r="E94" i="15"/>
  <c r="E93" i="15"/>
  <c r="E92" i="15"/>
  <c r="E91" i="15"/>
  <c r="E90" i="15"/>
  <c r="E89" i="15"/>
  <c r="E88" i="15"/>
  <c r="E87" i="15"/>
  <c r="E86" i="15"/>
  <c r="E85" i="15"/>
  <c r="E84" i="15"/>
  <c r="E83" i="15"/>
  <c r="E82" i="15"/>
  <c r="E81" i="15"/>
  <c r="E80" i="15"/>
  <c r="E79" i="15"/>
  <c r="E78" i="15"/>
  <c r="E77" i="15"/>
  <c r="E76" i="15"/>
  <c r="E75" i="15"/>
  <c r="E74" i="15"/>
  <c r="E73" i="15"/>
  <c r="E72" i="15"/>
  <c r="E71" i="15"/>
  <c r="E70" i="15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C52" i="12" l="1"/>
  <c r="D72" i="12"/>
  <c r="D52" i="12" s="1"/>
  <c r="C8" i="12" l="1"/>
  <c r="C11" i="12"/>
  <c r="C12" i="12"/>
  <c r="C117" i="12" l="1"/>
  <c r="C112" i="12" l="1"/>
  <c r="C109" i="12"/>
  <c r="C6" i="12"/>
  <c r="L67" i="12" l="1"/>
  <c r="L63" i="12"/>
  <c r="E63" i="12" s="1"/>
  <c r="E61" i="12" l="1"/>
  <c r="E62" i="12"/>
  <c r="C50" i="12"/>
  <c r="D50" i="12"/>
  <c r="O23" i="13"/>
  <c r="N23" i="13"/>
  <c r="M23" i="13"/>
  <c r="L23" i="13"/>
  <c r="K23" i="13"/>
  <c r="J23" i="13"/>
  <c r="G23" i="13"/>
  <c r="F23" i="13"/>
  <c r="D23" i="13"/>
  <c r="S22" i="13"/>
  <c r="S23" i="13" s="1"/>
  <c r="R22" i="13"/>
  <c r="I22" i="13"/>
  <c r="I23" i="13" s="1"/>
  <c r="N21" i="13"/>
  <c r="L21" i="13"/>
  <c r="J21" i="13"/>
  <c r="G21" i="13"/>
  <c r="F21" i="13"/>
  <c r="D21" i="13"/>
  <c r="R20" i="13"/>
  <c r="O20" i="13"/>
  <c r="O21" i="13" s="1"/>
  <c r="I20" i="13"/>
  <c r="I21" i="13" s="1"/>
  <c r="T19" i="13"/>
  <c r="U19" i="13" s="1"/>
  <c r="N18" i="13"/>
  <c r="N24" i="13" s="1"/>
  <c r="M18" i="13"/>
  <c r="M24" i="13" s="1"/>
  <c r="J18" i="13"/>
  <c r="H18" i="13"/>
  <c r="H24" i="13" s="1"/>
  <c r="G18" i="13"/>
  <c r="D18" i="13"/>
  <c r="O17" i="13"/>
  <c r="P17" i="13" s="1"/>
  <c r="I17" i="13"/>
  <c r="E17" i="13" s="1"/>
  <c r="T17" i="13" s="1"/>
  <c r="U17" i="13" s="1"/>
  <c r="O16" i="13"/>
  <c r="I16" i="13"/>
  <c r="E16" i="13" s="1"/>
  <c r="T16" i="13" s="1"/>
  <c r="O15" i="13"/>
  <c r="K15" i="13" s="1"/>
  <c r="W15" i="13" s="1"/>
  <c r="I15" i="13"/>
  <c r="O14" i="13"/>
  <c r="K14" i="13" s="1"/>
  <c r="W14" i="13" s="1"/>
  <c r="I14" i="13"/>
  <c r="O13" i="13"/>
  <c r="K13" i="13" s="1"/>
  <c r="W13" i="13" s="1"/>
  <c r="I13" i="13"/>
  <c r="O12" i="13"/>
  <c r="K12" i="13" s="1"/>
  <c r="W12" i="13" s="1"/>
  <c r="L12" i="13"/>
  <c r="L18" i="13" s="1"/>
  <c r="L24" i="13" s="1"/>
  <c r="I12" i="13"/>
  <c r="E12" i="13" s="1"/>
  <c r="T12" i="13" s="1"/>
  <c r="O11" i="13"/>
  <c r="K11" i="13" s="1"/>
  <c r="W11" i="13" s="1"/>
  <c r="I11" i="13"/>
  <c r="P11" i="13" s="1"/>
  <c r="O10" i="13"/>
  <c r="K10" i="13" s="1"/>
  <c r="W10" i="13" s="1"/>
  <c r="I10" i="13"/>
  <c r="F10" i="13"/>
  <c r="F18" i="13" s="1"/>
  <c r="F24" i="13" s="1"/>
  <c r="O9" i="13"/>
  <c r="K9" i="13" s="1"/>
  <c r="W9" i="13" s="1"/>
  <c r="I9" i="13"/>
  <c r="O8" i="13"/>
  <c r="K8" i="13" s="1"/>
  <c r="W8" i="13" s="1"/>
  <c r="I8" i="13"/>
  <c r="K7" i="13"/>
  <c r="W7" i="13" s="1"/>
  <c r="I7" i="13"/>
  <c r="E7" i="13" s="1"/>
  <c r="E11" i="13" l="1"/>
  <c r="T11" i="13" s="1"/>
  <c r="U11" i="13" s="1"/>
  <c r="G24" i="13"/>
  <c r="P10" i="13"/>
  <c r="J24" i="13"/>
  <c r="J28" i="13"/>
  <c r="C60" i="12"/>
  <c r="C65" i="12" s="1"/>
  <c r="P14" i="13"/>
  <c r="U16" i="13"/>
  <c r="I18" i="13"/>
  <c r="I24" i="13" s="1"/>
  <c r="P13" i="13"/>
  <c r="P15" i="13"/>
  <c r="P16" i="13"/>
  <c r="K20" i="13"/>
  <c r="K21" i="13" s="1"/>
  <c r="P12" i="13"/>
  <c r="P7" i="13"/>
  <c r="E8" i="13"/>
  <c r="T8" i="13" s="1"/>
  <c r="U8" i="13" s="1"/>
  <c r="P8" i="13"/>
  <c r="E9" i="13"/>
  <c r="T9" i="13" s="1"/>
  <c r="U9" i="13" s="1"/>
  <c r="P9" i="13"/>
  <c r="E10" i="13"/>
  <c r="T10" i="13" s="1"/>
  <c r="U10" i="13" s="1"/>
  <c r="U12" i="13"/>
  <c r="K16" i="13"/>
  <c r="W16" i="13" s="1"/>
  <c r="K17" i="13"/>
  <c r="W17" i="13" s="1"/>
  <c r="E22" i="13"/>
  <c r="T7" i="13"/>
  <c r="U7" i="13" s="1"/>
  <c r="O18" i="13"/>
  <c r="O24" i="13" s="1"/>
  <c r="E13" i="13"/>
  <c r="T13" i="13" s="1"/>
  <c r="U13" i="13" s="1"/>
  <c r="E14" i="13"/>
  <c r="T14" i="13" s="1"/>
  <c r="U14" i="13" s="1"/>
  <c r="E15" i="13"/>
  <c r="T15" i="13" s="1"/>
  <c r="U15" i="13" s="1"/>
  <c r="P22" i="13"/>
  <c r="P23" i="13" s="1"/>
  <c r="D24" i="13"/>
  <c r="E20" i="13"/>
  <c r="P20" i="13"/>
  <c r="P21" i="13" s="1"/>
  <c r="D28" i="13" l="1"/>
  <c r="T20" i="13"/>
  <c r="U20" i="13" s="1"/>
  <c r="E21" i="13"/>
  <c r="T21" i="13" s="1"/>
  <c r="U21" i="13" s="1"/>
  <c r="T22" i="13"/>
  <c r="U22" i="13" s="1"/>
  <c r="E23" i="13"/>
  <c r="T23" i="13" s="1"/>
  <c r="U23" i="13" s="1"/>
  <c r="P18" i="13"/>
  <c r="P24" i="13" s="1"/>
  <c r="K18" i="13"/>
  <c r="K24" i="13" s="1"/>
  <c r="E18" i="13"/>
  <c r="T4" i="13" l="1"/>
  <c r="K28" i="13"/>
  <c r="E107" i="12"/>
  <c r="E24" i="13"/>
  <c r="E28" i="13" s="1"/>
  <c r="T18" i="13"/>
  <c r="U18" i="13" s="1"/>
  <c r="C106" i="12" l="1"/>
  <c r="E108" i="12"/>
  <c r="D117" i="12"/>
  <c r="E139" i="12"/>
  <c r="E137" i="12"/>
  <c r="D130" i="12"/>
  <c r="D132" i="12" s="1"/>
  <c r="E115" i="12"/>
  <c r="E114" i="12"/>
  <c r="E113" i="12"/>
  <c r="D112" i="12"/>
  <c r="E112" i="12" s="1"/>
  <c r="E110" i="12"/>
  <c r="E100" i="12"/>
  <c r="E98" i="12"/>
  <c r="E97" i="12"/>
  <c r="D78" i="12"/>
  <c r="E71" i="12"/>
  <c r="D80" i="12"/>
  <c r="K62" i="12"/>
  <c r="F61" i="12"/>
  <c r="F60" i="12" s="1"/>
  <c r="E54" i="12"/>
  <c r="E53" i="12"/>
  <c r="E52" i="12"/>
  <c r="L51" i="12"/>
  <c r="E51" i="12"/>
  <c r="E50" i="12"/>
  <c r="E44" i="12"/>
  <c r="E38" i="12"/>
  <c r="E19" i="12"/>
  <c r="E8" i="12"/>
  <c r="E7" i="12"/>
  <c r="E117" i="12" l="1"/>
  <c r="E130" i="12"/>
  <c r="F65" i="12"/>
  <c r="E132" i="12"/>
  <c r="D9" i="12"/>
  <c r="E70" i="12"/>
  <c r="C72" i="12"/>
  <c r="E72" i="12" s="1"/>
  <c r="D65" i="12"/>
  <c r="E65" i="12" s="1"/>
  <c r="E9" i="12"/>
  <c r="E99" i="12"/>
  <c r="E101" i="12"/>
  <c r="D79" i="12"/>
  <c r="D60" i="12"/>
  <c r="E60" i="12" s="1"/>
  <c r="D81" i="12" l="1"/>
  <c r="D4" i="12" l="1"/>
  <c r="D116" i="12" l="1"/>
  <c r="H93" i="5" l="1"/>
  <c r="H94" i="5" s="1"/>
  <c r="H142" i="5"/>
  <c r="C171" i="12" l="1"/>
  <c r="D11" i="12" l="1"/>
  <c r="D32" i="12"/>
  <c r="E32" i="12"/>
  <c r="E11" i="12" l="1"/>
  <c r="C80" i="12" l="1"/>
  <c r="E80" i="12" s="1"/>
  <c r="C79" i="12" l="1"/>
  <c r="E79" i="12" s="1"/>
  <c r="I7" i="8"/>
  <c r="P7" i="8" s="1"/>
  <c r="K7" i="8"/>
  <c r="W7" i="8" s="1"/>
  <c r="I8" i="8"/>
  <c r="E8" i="8" s="1"/>
  <c r="T8" i="8" s="1"/>
  <c r="U8" i="8" s="1"/>
  <c r="O8" i="8"/>
  <c r="K8" i="8" s="1"/>
  <c r="W8" i="8" s="1"/>
  <c r="I9" i="8"/>
  <c r="E9" i="8" s="1"/>
  <c r="T9" i="8" s="1"/>
  <c r="O9" i="8"/>
  <c r="K9" i="8" s="1"/>
  <c r="I10" i="8"/>
  <c r="E10" i="8" s="1"/>
  <c r="T10" i="8" s="1"/>
  <c r="O10" i="8"/>
  <c r="K10" i="8" s="1"/>
  <c r="W10" i="8" s="1"/>
  <c r="I11" i="8"/>
  <c r="E11" i="8" s="1"/>
  <c r="T11" i="8" s="1"/>
  <c r="O11" i="8"/>
  <c r="K11" i="8" s="1"/>
  <c r="W11" i="8" s="1"/>
  <c r="I12" i="8"/>
  <c r="E12" i="8" s="1"/>
  <c r="T12" i="8" s="1"/>
  <c r="O12" i="8"/>
  <c r="K12" i="8" s="1"/>
  <c r="W12" i="8" s="1"/>
  <c r="I13" i="8"/>
  <c r="E13" i="8" s="1"/>
  <c r="T13" i="8" s="1"/>
  <c r="O13" i="8"/>
  <c r="K13" i="8" s="1"/>
  <c r="W13" i="8" s="1"/>
  <c r="I14" i="8"/>
  <c r="E14" i="8" s="1"/>
  <c r="T14" i="8" s="1"/>
  <c r="O14" i="8"/>
  <c r="K14" i="8" s="1"/>
  <c r="W14" i="8" s="1"/>
  <c r="I15" i="8"/>
  <c r="E15" i="8" s="1"/>
  <c r="T15" i="8" s="1"/>
  <c r="O15" i="8"/>
  <c r="K15" i="8" s="1"/>
  <c r="W15" i="8" s="1"/>
  <c r="I16" i="8"/>
  <c r="E16" i="8" s="1"/>
  <c r="T16" i="8" s="1"/>
  <c r="O16" i="8"/>
  <c r="K16" i="8" s="1"/>
  <c r="W16" i="8" s="1"/>
  <c r="I17" i="8"/>
  <c r="E17" i="8" s="1"/>
  <c r="T17" i="8" s="1"/>
  <c r="O17" i="8"/>
  <c r="K17" i="8" s="1"/>
  <c r="W17" i="8" s="1"/>
  <c r="D18" i="8"/>
  <c r="F18" i="8"/>
  <c r="G18" i="8"/>
  <c r="H18" i="8"/>
  <c r="H24" i="8" s="1"/>
  <c r="J18" i="8"/>
  <c r="J27" i="8" s="1"/>
  <c r="L18" i="8"/>
  <c r="M18" i="8"/>
  <c r="N18" i="8"/>
  <c r="Q18" i="8"/>
  <c r="T19" i="8"/>
  <c r="U19" i="8"/>
  <c r="I20" i="8"/>
  <c r="E20" i="8" s="1"/>
  <c r="O20" i="8"/>
  <c r="K20" i="8" s="1"/>
  <c r="K21" i="8" s="1"/>
  <c r="R20" i="8"/>
  <c r="D21" i="8"/>
  <c r="F21" i="8"/>
  <c r="F24" i="8" s="1"/>
  <c r="G21" i="8"/>
  <c r="J21" i="8"/>
  <c r="L21" i="8"/>
  <c r="N21" i="8"/>
  <c r="Q21" i="8"/>
  <c r="I22" i="8"/>
  <c r="E22" i="8" s="1"/>
  <c r="R22" i="8"/>
  <c r="S22" i="8"/>
  <c r="S23" i="8" s="1"/>
  <c r="D23" i="8"/>
  <c r="D24" i="8" s="1"/>
  <c r="F23" i="8"/>
  <c r="G23" i="8"/>
  <c r="J23" i="8"/>
  <c r="J24" i="8" s="1"/>
  <c r="K23" i="8"/>
  <c r="L23" i="8"/>
  <c r="M23" i="8"/>
  <c r="N23" i="8"/>
  <c r="O23" i="8"/>
  <c r="Q23" i="8"/>
  <c r="L24" i="8"/>
  <c r="N24" i="8"/>
  <c r="D28" i="8" l="1"/>
  <c r="D29" i="8" s="1"/>
  <c r="M24" i="8"/>
  <c r="G24" i="8"/>
  <c r="Q24" i="8"/>
  <c r="C78" i="12"/>
  <c r="O21" i="8"/>
  <c r="I18" i="8"/>
  <c r="O18" i="8"/>
  <c r="W9" i="8"/>
  <c r="K18" i="8"/>
  <c r="K24" i="8" s="1"/>
  <c r="T20" i="8"/>
  <c r="U20" i="8" s="1"/>
  <c r="E21" i="8"/>
  <c r="T21" i="8" s="1"/>
  <c r="E23" i="8"/>
  <c r="T23" i="8" s="1"/>
  <c r="T22" i="8"/>
  <c r="U22" i="8" s="1"/>
  <c r="I23" i="8"/>
  <c r="P22" i="8"/>
  <c r="P23" i="8" s="1"/>
  <c r="I21" i="8"/>
  <c r="P20" i="8"/>
  <c r="P21" i="8" s="1"/>
  <c r="U17" i="8"/>
  <c r="U16" i="8"/>
  <c r="U15" i="8"/>
  <c r="U14" i="8"/>
  <c r="U13" i="8"/>
  <c r="U12" i="8"/>
  <c r="U11" i="8"/>
  <c r="U10" i="8"/>
  <c r="U9" i="8"/>
  <c r="E7" i="8"/>
  <c r="P17" i="8"/>
  <c r="P16" i="8"/>
  <c r="P15" i="8"/>
  <c r="P14" i="8"/>
  <c r="P13" i="8"/>
  <c r="P12" i="8"/>
  <c r="P11" i="8"/>
  <c r="P10" i="8"/>
  <c r="P9" i="8"/>
  <c r="P8" i="8"/>
  <c r="E78" i="12" l="1"/>
  <c r="C81" i="12"/>
  <c r="C116" i="12" s="1"/>
  <c r="O24" i="8"/>
  <c r="U23" i="8"/>
  <c r="P18" i="8"/>
  <c r="P24" i="8" s="1"/>
  <c r="P28" i="8" s="1"/>
  <c r="U21" i="8"/>
  <c r="T4" i="8"/>
  <c r="T7" i="8"/>
  <c r="U7" i="8" s="1"/>
  <c r="E18" i="8"/>
  <c r="E29" i="8" s="1"/>
  <c r="I24" i="8"/>
  <c r="C118" i="12" l="1"/>
  <c r="C124" i="12" s="1"/>
  <c r="C5" i="12" s="1"/>
  <c r="C4" i="12"/>
  <c r="D6" i="12"/>
  <c r="E6" i="12" s="1"/>
  <c r="E86" i="12"/>
  <c r="E81" i="12"/>
  <c r="E24" i="8"/>
  <c r="T18" i="8"/>
  <c r="U18" i="8" s="1"/>
  <c r="E116" i="12" l="1"/>
  <c r="D106" i="12"/>
  <c r="E106" i="12" s="1"/>
  <c r="D109" i="12"/>
  <c r="E109" i="12" s="1"/>
  <c r="E111" i="12"/>
  <c r="F116" i="12"/>
  <c r="F117" i="12" s="1"/>
  <c r="C10" i="12"/>
  <c r="C17" i="12" s="1"/>
  <c r="E4" i="12"/>
  <c r="E28" i="8"/>
  <c r="F28" i="8" s="1"/>
  <c r="K109" i="5"/>
  <c r="K113" i="5" s="1"/>
  <c r="L108" i="5"/>
  <c r="H105" i="5"/>
  <c r="J105" i="5" s="1"/>
  <c r="L105" i="5" s="1"/>
  <c r="M105" i="5" s="1"/>
  <c r="L103" i="5"/>
  <c r="L102" i="5"/>
  <c r="L101" i="5"/>
  <c r="L100" i="5"/>
  <c r="L99" i="5"/>
  <c r="L90" i="5"/>
  <c r="K90" i="5"/>
  <c r="J90" i="5"/>
  <c r="I90" i="5"/>
  <c r="H90" i="5"/>
  <c r="M89" i="5"/>
  <c r="M88" i="5"/>
  <c r="M87" i="5"/>
  <c r="M86" i="5"/>
  <c r="M85" i="5"/>
  <c r="M84" i="5"/>
  <c r="M83" i="5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L66" i="5"/>
  <c r="K66" i="5"/>
  <c r="J66" i="5"/>
  <c r="I66" i="5"/>
  <c r="H66" i="5"/>
  <c r="M65" i="5"/>
  <c r="M64" i="5"/>
  <c r="M63" i="5"/>
  <c r="M62" i="5"/>
  <c r="M61" i="5"/>
  <c r="M60" i="5"/>
  <c r="M59" i="5"/>
  <c r="M58" i="5"/>
  <c r="M57" i="5"/>
  <c r="AA56" i="5"/>
  <c r="AC55" i="5"/>
  <c r="L54" i="5"/>
  <c r="K54" i="5"/>
  <c r="J54" i="5"/>
  <c r="I54" i="5"/>
  <c r="H54" i="5"/>
  <c r="M53" i="5"/>
  <c r="M52" i="5"/>
  <c r="H107" i="5" s="1"/>
  <c r="L50" i="5"/>
  <c r="K50" i="5"/>
  <c r="J50" i="5"/>
  <c r="I50" i="5"/>
  <c r="H50" i="5"/>
  <c r="M49" i="5"/>
  <c r="H106" i="5" s="1"/>
  <c r="L45" i="5"/>
  <c r="K45" i="5"/>
  <c r="J45" i="5"/>
  <c r="I45" i="5"/>
  <c r="H45" i="5"/>
  <c r="R44" i="5"/>
  <c r="Q44" i="5"/>
  <c r="Q46" i="5" s="1"/>
  <c r="M44" i="5"/>
  <c r="M45" i="5" s="1"/>
  <c r="H102" i="5" s="1"/>
  <c r="L43" i="5"/>
  <c r="K43" i="5"/>
  <c r="I43" i="5"/>
  <c r="J42" i="5"/>
  <c r="J43" i="5" s="1"/>
  <c r="S40" i="5"/>
  <c r="K40" i="5"/>
  <c r="H40" i="5"/>
  <c r="M39" i="5"/>
  <c r="M38" i="5"/>
  <c r="AH37" i="5"/>
  <c r="M37" i="5"/>
  <c r="AH36" i="5"/>
  <c r="AF36" i="5"/>
  <c r="M36" i="5"/>
  <c r="M35" i="5"/>
  <c r="M34" i="5"/>
  <c r="J33" i="5"/>
  <c r="J40" i="5" s="1"/>
  <c r="I33" i="5"/>
  <c r="M32" i="5"/>
  <c r="AD29" i="5"/>
  <c r="AC29" i="5"/>
  <c r="AA29" i="5"/>
  <c r="U29" i="5"/>
  <c r="L29" i="5"/>
  <c r="K29" i="5"/>
  <c r="H29" i="5"/>
  <c r="M28" i="5"/>
  <c r="M27" i="5"/>
  <c r="M26" i="5"/>
  <c r="M25" i="5"/>
  <c r="J24" i="5"/>
  <c r="J29" i="5" s="1"/>
  <c r="M23" i="5"/>
  <c r="M22" i="5"/>
  <c r="I21" i="5"/>
  <c r="M21" i="5" s="1"/>
  <c r="M20" i="5"/>
  <c r="M19" i="5"/>
  <c r="I18" i="5"/>
  <c r="M18" i="5" s="1"/>
  <c r="I17" i="5"/>
  <c r="M17" i="5" s="1"/>
  <c r="I16" i="5"/>
  <c r="M16" i="5" s="1"/>
  <c r="M15" i="5"/>
  <c r="M14" i="5"/>
  <c r="S13" i="5"/>
  <c r="M13" i="5"/>
  <c r="M12" i="5"/>
  <c r="M11" i="5"/>
  <c r="M10" i="5"/>
  <c r="R10" i="5" s="1"/>
  <c r="I9" i="5"/>
  <c r="I29" i="5" s="1"/>
  <c r="M8" i="5"/>
  <c r="M7" i="5"/>
  <c r="C120" i="12" l="1"/>
  <c r="M33" i="5"/>
  <c r="M40" i="5" s="1"/>
  <c r="H100" i="5" s="1"/>
  <c r="M100" i="5" s="1"/>
  <c r="I40" i="5"/>
  <c r="D118" i="12"/>
  <c r="D124" i="12" s="1"/>
  <c r="D5" i="12" s="1"/>
  <c r="C13" i="12"/>
  <c r="AH49" i="5"/>
  <c r="J55" i="5"/>
  <c r="J92" i="5" s="1"/>
  <c r="M66" i="5"/>
  <c r="H103" i="5" s="1"/>
  <c r="M103" i="5" s="1"/>
  <c r="M50" i="5"/>
  <c r="M90" i="5"/>
  <c r="I104" i="5" s="1"/>
  <c r="L55" i="5"/>
  <c r="L92" i="5" s="1"/>
  <c r="M102" i="5"/>
  <c r="H55" i="5"/>
  <c r="H92" i="5" s="1"/>
  <c r="R32" i="5"/>
  <c r="R42" i="5" s="1"/>
  <c r="M54" i="5"/>
  <c r="Q40" i="5"/>
  <c r="Q42" i="5" s="1"/>
  <c r="K55" i="5"/>
  <c r="K92" i="5" s="1"/>
  <c r="J106" i="5"/>
  <c r="L106" i="5" s="1"/>
  <c r="M106" i="5" s="1"/>
  <c r="I107" i="5"/>
  <c r="L107" i="5" s="1"/>
  <c r="M107" i="5" s="1"/>
  <c r="AC31" i="5"/>
  <c r="I55" i="5"/>
  <c r="I92" i="5" s="1"/>
  <c r="M24" i="5"/>
  <c r="H108" i="5"/>
  <c r="M108" i="5" s="1"/>
  <c r="M9" i="5"/>
  <c r="M93" i="5" s="1"/>
  <c r="M94" i="5" s="1"/>
  <c r="M42" i="5"/>
  <c r="M43" i="5" s="1"/>
  <c r="H101" i="5" s="1"/>
  <c r="M101" i="5" s="1"/>
  <c r="E118" i="12" l="1"/>
  <c r="E5" i="12"/>
  <c r="C16" i="12"/>
  <c r="D16" i="12" s="1"/>
  <c r="H104" i="5"/>
  <c r="J109" i="5"/>
  <c r="M29" i="5"/>
  <c r="M55" i="5" s="1"/>
  <c r="M92" i="5" s="1"/>
  <c r="J111" i="5"/>
  <c r="L111" i="5" s="1"/>
  <c r="L104" i="5"/>
  <c r="L109" i="5" s="1"/>
  <c r="I109" i="5"/>
  <c r="I113" i="5" s="1"/>
  <c r="H99" i="5" l="1"/>
  <c r="H109" i="5" s="1"/>
  <c r="M109" i="5" s="1"/>
  <c r="E124" i="12"/>
  <c r="E16" i="12"/>
  <c r="AA31" i="5"/>
  <c r="S30" i="5"/>
  <c r="U30" i="5"/>
  <c r="S31" i="5"/>
  <c r="M104" i="5"/>
  <c r="J113" i="5"/>
  <c r="L113" i="5" s="1"/>
  <c r="M99" i="5"/>
  <c r="I115" i="5"/>
  <c r="D10" i="12" l="1"/>
  <c r="E18" i="4"/>
  <c r="C18" i="4"/>
  <c r="F17" i="4"/>
  <c r="D16" i="4"/>
  <c r="D18" i="4" s="1"/>
  <c r="F15" i="4"/>
  <c r="F14" i="4"/>
  <c r="F13" i="4"/>
  <c r="F12" i="4"/>
  <c r="F11" i="4"/>
  <c r="B10" i="4"/>
  <c r="B18" i="4" s="1"/>
  <c r="F9" i="4"/>
  <c r="F8" i="4"/>
  <c r="F7" i="4"/>
  <c r="F6" i="4"/>
  <c r="F5" i="4"/>
  <c r="F4" i="4"/>
  <c r="D17" i="12" l="1"/>
  <c r="E17" i="12" s="1"/>
  <c r="F10" i="4"/>
  <c r="E10" i="12"/>
  <c r="F16" i="4"/>
  <c r="F18" i="4" s="1"/>
  <c r="F19" i="4" s="1"/>
  <c r="E26" i="12" l="1"/>
  <c r="D12" i="12"/>
  <c r="D13" i="12" s="1"/>
  <c r="E12" i="12" l="1"/>
  <c r="E13" i="12" l="1"/>
  <c r="D18" i="12"/>
  <c r="E18" i="12" l="1"/>
  <c r="D20" i="12"/>
  <c r="E20" i="12" s="1"/>
</calcChain>
</file>

<file path=xl/comments1.xml><?xml version="1.0" encoding="utf-8"?>
<comments xmlns="http://schemas.openxmlformats.org/spreadsheetml/2006/main">
  <authors>
    <author>tc={62AA62DC-D216-4062-92CF-5E9BBE06FA9D}</author>
    <author>Viplaw Dahidule</author>
    <author>tc={8E41C712-3638-4B8B-B5FA-1196B6B82E34}</author>
    <author>tc={2C4F1C0E-A43F-4675-95DD-BBD802141417}</author>
    <author>tc={3C070120-76E5-40B5-84E8-3F6432EA9F63}</author>
    <author>tc={04B247A6-C3D1-49AD-8512-970BFFE678C2}</author>
    <author>tc={2CAA58E1-7969-4BBC-B066-0047F6B77338}</author>
    <author>tc={2003814D-EE16-43D3-AF21-891468954864}</author>
    <author>tc={15F3C0BC-55C1-4244-ACFD-D453C2EA1F21}</author>
    <author>tc={B87034A2-0F0D-4695-B40C-235D3022821D}</author>
    <author>tc={B3116419-625A-4E7A-B031-D2DEAD3DBC30}</author>
    <author>tc={8C2EF950-EBF8-4979-851B-581DAB3DA1E2}</author>
    <author>tc={7EE44B5C-0838-4C87-8599-973B60459529}</author>
    <author>tc={3483850A-634F-4E13-B190-1E03349CB6F7}</author>
    <author>AAORAC</author>
    <author>tc={8FF88BD4-B967-48E8-8A59-956233522E02}</author>
    <author>tc={B3A5197A-022E-4C88-9FFE-B5819592A74A}</author>
    <author>tc={8259F6CD-3C88-4DEF-AD37-E4D8841EBCDD}</author>
    <author>tc={4FFB8590-4921-42E6-AB99-F367C08119DF}</author>
  </authors>
  <commentList>
    <comment ref="C4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Not in order</t>
        </r>
      </text>
    </comment>
    <comment ref="D26" authorId="1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Details of Consumer wise reveunue from OA</t>
        </r>
      </text>
    </comment>
    <comment ref="D38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Page 15v &amp; page 18 of APR Information. add</t>
        </r>
      </text>
    </comment>
    <comment ref="D53" authorId="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Note 26 page 85</t>
        </r>
      </text>
    </comment>
    <comment ref="D54" authorId="4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IN Internal and external funding 2022 add two values</t>
        </r>
      </text>
    </comment>
    <comment ref="D61" authorId="5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Note 25</t>
        </r>
      </text>
    </comment>
    <comment ref="C70" authorId="6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80% of capitalized O&amp;M is in Employee. Rest in A&amp;G</t>
        </r>
      </text>
    </comment>
    <comment ref="D70" authorId="7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Note 24 page 74</t>
        </r>
      </text>
    </comment>
    <comment ref="C71" authorId="8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80% of capitalized O&amp;M is in Employee. Rest in A&amp;G</t>
        </r>
      </text>
    </comment>
    <comment ref="D71" authorId="9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From note 25 page 85
</t>
        </r>
      </text>
    </comment>
    <comment ref="F92" authorId="1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Please provide sufficient back up calculations file</t>
        </r>
      </text>
    </comment>
    <comment ref="F93" authorId="1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Please provide sufficient back up calculations file</t>
        </r>
      </text>
    </comment>
    <comment ref="C104" authorId="1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These values are taken from Petitions 'Actual Values' . However the approved values should come here.</t>
        </r>
      </text>
    </comment>
    <comment ref="D104" authorId="1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Discuss with Mam</t>
        </r>
      </text>
    </comment>
    <comment ref="D107" authorId="1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Note No. 11</t>
        </r>
      </text>
    </comment>
    <comment ref="D108" authorId="1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Note No. 11</t>
        </r>
      </text>
    </comment>
    <comment ref="D111" authorId="14">
      <text>
        <r>
          <rPr>
            <b/>
            <sz val="9"/>
            <color indexed="81"/>
            <rFont val="Tahoma"/>
            <family val="2"/>
          </rPr>
          <t>AAORAC:</t>
        </r>
        <r>
          <rPr>
            <sz val="9"/>
            <color indexed="81"/>
            <rFont val="Tahoma"/>
            <family val="2"/>
          </rPr>
          <t xml:space="preserve">
from cash flow</t>
        </r>
      </text>
    </comment>
    <comment ref="D113" authorId="15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Schedule 3.</t>
        </r>
      </text>
    </comment>
    <comment ref="D114" authorId="16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Schedule 3.</t>
        </r>
      </text>
    </comment>
    <comment ref="D115" authorId="17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Schedule 3.</t>
        </r>
      </text>
    </comment>
    <comment ref="C118" authorId="18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Not matching with order</t>
        </r>
      </text>
    </comment>
  </commentList>
</comments>
</file>

<file path=xl/sharedStrings.xml><?xml version="1.0" encoding="utf-8"?>
<sst xmlns="http://schemas.openxmlformats.org/spreadsheetml/2006/main" count="791" uniqueCount="420">
  <si>
    <t>ARR</t>
  </si>
  <si>
    <t>Rs. in crore</t>
  </si>
  <si>
    <t>Particulars</t>
  </si>
  <si>
    <t>Approved</t>
  </si>
  <si>
    <t>Deviations</t>
  </si>
  <si>
    <t>Operation &amp; Maintenance expenses</t>
  </si>
  <si>
    <t>Return on Capital Employed</t>
  </si>
  <si>
    <t>Depreciation</t>
  </si>
  <si>
    <t>Taxes on Income</t>
  </si>
  <si>
    <t>Special appropriations</t>
  </si>
  <si>
    <t>Other Expenditure</t>
  </si>
  <si>
    <t>Aggregate Revenue Requirement</t>
  </si>
  <si>
    <t>Less: Non-Tariff Income</t>
  </si>
  <si>
    <t>Less: Revenue from OA</t>
  </si>
  <si>
    <t>Net Aggregate Revenue Requirement</t>
  </si>
  <si>
    <t>Revenue Gaps Calculation</t>
  </si>
  <si>
    <t>Revenue from Tariff (Wheeling only)</t>
  </si>
  <si>
    <t>Total Revenue</t>
  </si>
  <si>
    <t>Total Gap from Distribution Business</t>
  </si>
  <si>
    <t>Carrying cost</t>
  </si>
  <si>
    <t>Total Gap inclusive of carrying cost for true up</t>
  </si>
  <si>
    <t>Revenue from OA</t>
  </si>
  <si>
    <t>Actuals</t>
  </si>
  <si>
    <t>Non-Tariff Income</t>
  </si>
  <si>
    <t>Special appropriations*</t>
  </si>
  <si>
    <t>Tax on Income</t>
  </si>
  <si>
    <t>Capitalization</t>
  </si>
  <si>
    <t>New Investment</t>
  </si>
  <si>
    <t>O&amp;M Expenses Capitalised</t>
  </si>
  <si>
    <t>Interest During Construction capitalised</t>
  </si>
  <si>
    <t>Operation &amp; Maintenance expense Capitalised</t>
  </si>
  <si>
    <t>O&amp;M Gross</t>
  </si>
  <si>
    <t>Employee cost</t>
  </si>
  <si>
    <t>Admin &amp; General expenses</t>
  </si>
  <si>
    <t>Repairs &amp; Maintenance</t>
  </si>
  <si>
    <t>Expense capitalised</t>
  </si>
  <si>
    <t>Net O&amp;M expense</t>
  </si>
  <si>
    <t>Employee Expenses</t>
  </si>
  <si>
    <t>A&amp;G Expenses</t>
  </si>
  <si>
    <t>Total expense capitalised</t>
  </si>
  <si>
    <t>Operation &amp; Maintenance expense (Net of expense capitalised)</t>
  </si>
  <si>
    <t>Actuals (CERC)</t>
  </si>
  <si>
    <t>Depreciation during the year</t>
  </si>
  <si>
    <t>Opening Balance</t>
  </si>
  <si>
    <t>Closing Balance</t>
  </si>
  <si>
    <t>Interest Expenditure</t>
  </si>
  <si>
    <t>Cost of Debt</t>
  </si>
  <si>
    <t>Long term capex loans</t>
  </si>
  <si>
    <t>Debt</t>
  </si>
  <si>
    <t>Equity</t>
  </si>
  <si>
    <t>Return on Equity</t>
  </si>
  <si>
    <t>WACC</t>
  </si>
  <si>
    <t>Regulated rate base calculations</t>
  </si>
  <si>
    <t xml:space="preserve"> Assets</t>
  </si>
  <si>
    <t>OCFA Opening Balance</t>
  </si>
  <si>
    <t xml:space="preserve">Additions to OCFA </t>
  </si>
  <si>
    <t>Depreciation during the Year</t>
  </si>
  <si>
    <t xml:space="preserve">Consumer Contributions </t>
  </si>
  <si>
    <t xml:space="preserve"> Cons Contributions Opening Balance</t>
  </si>
  <si>
    <t xml:space="preserve"> Additions to Cons Contributions </t>
  </si>
  <si>
    <t xml:space="preserve"> Deductions to Cons Contributions </t>
  </si>
  <si>
    <t xml:space="preserve"> Working Capital </t>
  </si>
  <si>
    <t xml:space="preserve"> Change in Rate Base  </t>
  </si>
  <si>
    <t xml:space="preserve"> Regulated Rate Base  </t>
  </si>
  <si>
    <t>RoCE</t>
  </si>
  <si>
    <t>Total</t>
  </si>
  <si>
    <t>Amortised Depreciation on CC Assets</t>
  </si>
  <si>
    <t>Safety measures breakup</t>
  </si>
  <si>
    <t>Actuals*</t>
  </si>
  <si>
    <t>Rs. In crores</t>
  </si>
  <si>
    <t>Asset Scrap</t>
  </si>
  <si>
    <t>Grand Total</t>
  </si>
  <si>
    <t>BJH1015</t>
  </si>
  <si>
    <t>BJH1262</t>
  </si>
  <si>
    <t>BJH1304</t>
  </si>
  <si>
    <t>BJH1416</t>
  </si>
  <si>
    <t>BJH369</t>
  </si>
  <si>
    <t>BJH393</t>
  </si>
  <si>
    <t>BJH698</t>
  </si>
  <si>
    <t>BJH718</t>
  </si>
  <si>
    <t>BJH922</t>
  </si>
  <si>
    <t>BJH936</t>
  </si>
  <si>
    <t>CBC1285</t>
  </si>
  <si>
    <t>CBC1291</t>
  </si>
  <si>
    <t>CBC1400</t>
  </si>
  <si>
    <t>CBC1820</t>
  </si>
  <si>
    <t>CBC2608</t>
  </si>
  <si>
    <t>CBC384</t>
  </si>
  <si>
    <t>CBC946</t>
  </si>
  <si>
    <t>HBG1035</t>
  </si>
  <si>
    <t>HBG1076</t>
  </si>
  <si>
    <t>HBG1304</t>
  </si>
  <si>
    <t>HBG143</t>
  </si>
  <si>
    <t>HBG1509</t>
  </si>
  <si>
    <t>HBG164</t>
  </si>
  <si>
    <t>HBG1934</t>
  </si>
  <si>
    <t>HBG2169</t>
  </si>
  <si>
    <t>HBG498</t>
  </si>
  <si>
    <t>HDC048</t>
  </si>
  <si>
    <t>HDS195</t>
  </si>
  <si>
    <t>HDS681</t>
  </si>
  <si>
    <t>MBN1139</t>
  </si>
  <si>
    <t>MBN719</t>
  </si>
  <si>
    <t>MBN724</t>
  </si>
  <si>
    <t>MBN725</t>
  </si>
  <si>
    <t>MCL1034</t>
  </si>
  <si>
    <t>MCL1044</t>
  </si>
  <si>
    <t>MCL1070</t>
  </si>
  <si>
    <t>MCL1357</t>
  </si>
  <si>
    <t>MCL696</t>
  </si>
  <si>
    <t>MCL713</t>
  </si>
  <si>
    <t>MCL766</t>
  </si>
  <si>
    <t>MCL848</t>
  </si>
  <si>
    <t>MCL906</t>
  </si>
  <si>
    <t>NLG225</t>
  </si>
  <si>
    <t>NLG585</t>
  </si>
  <si>
    <t>RJN1102</t>
  </si>
  <si>
    <t>RJN1739</t>
  </si>
  <si>
    <t>RJN1910</t>
  </si>
  <si>
    <t>RJN502</t>
  </si>
  <si>
    <t>RJN506</t>
  </si>
  <si>
    <t>RJN557</t>
  </si>
  <si>
    <t>RJN629</t>
  </si>
  <si>
    <t>RJN699</t>
  </si>
  <si>
    <t>SDP1140</t>
  </si>
  <si>
    <t>SDP306</t>
  </si>
  <si>
    <t>SEC1290</t>
  </si>
  <si>
    <t>SEC520</t>
  </si>
  <si>
    <t>SGR008</t>
  </si>
  <si>
    <t>SGR123</t>
  </si>
  <si>
    <t>SGR127</t>
  </si>
  <si>
    <t>SGR1278</t>
  </si>
  <si>
    <t>SGR1953</t>
  </si>
  <si>
    <t>SGR208</t>
  </si>
  <si>
    <t>SGR217</t>
  </si>
  <si>
    <t>SGR230</t>
  </si>
  <si>
    <t>SGR264</t>
  </si>
  <si>
    <t>SGR512</t>
  </si>
  <si>
    <t>SGR555</t>
  </si>
  <si>
    <t>SGR556</t>
  </si>
  <si>
    <t>SGR569</t>
  </si>
  <si>
    <t>SGR590</t>
  </si>
  <si>
    <t>SGR602</t>
  </si>
  <si>
    <t>SGR629</t>
  </si>
  <si>
    <t>SGR634</t>
  </si>
  <si>
    <t>SGR644</t>
  </si>
  <si>
    <t>SGR666</t>
  </si>
  <si>
    <t>SGR693</t>
  </si>
  <si>
    <t>SGR694</t>
  </si>
  <si>
    <t>SGR769</t>
  </si>
  <si>
    <t>SGR920</t>
  </si>
  <si>
    <t>SGR934</t>
  </si>
  <si>
    <t>SPT641</t>
  </si>
  <si>
    <t>SRN705</t>
  </si>
  <si>
    <t>SRN750</t>
  </si>
  <si>
    <t>SRN866</t>
  </si>
  <si>
    <t>YDD846</t>
  </si>
  <si>
    <t>INTEREST ON LOANS FOR THE FY 2022-23</t>
  </si>
  <si>
    <t>Amount in Rs.</t>
  </si>
  <si>
    <t>Period</t>
  </si>
  <si>
    <t>Interest on REC loans -GL 7800103</t>
  </si>
  <si>
    <t>Interest on REC Loans - GL 7800130</t>
  </si>
  <si>
    <t>Interest on PFC Loans -GL 7800104</t>
  </si>
  <si>
    <t>Interest on JICA Loan -GL 7800122</t>
  </si>
  <si>
    <t>Total Interest expense</t>
  </si>
  <si>
    <t>Provision for interest made during the year</t>
  </si>
  <si>
    <t>RAPDRP provision reversal on receipt of grant</t>
  </si>
  <si>
    <t>SOUTHERN POWER DISTRIBUTION COMPANY OF TELANGANA LIMITED</t>
  </si>
  <si>
    <t xml:space="preserve">CLOSING BALANCES OF LOANS AS ON 31.03.2022 (PROVISIONAL)                              </t>
  </si>
  <si>
    <t>Sl. No.</t>
  </si>
  <si>
    <t>G/L Account</t>
  </si>
  <si>
    <t>Vendor No.</t>
  </si>
  <si>
    <t>Funding Institution</t>
  </si>
  <si>
    <t>Area of operation</t>
  </si>
  <si>
    <t>ROI</t>
  </si>
  <si>
    <t>Loan Amount (Rs. In Crs.)</t>
  </si>
  <si>
    <t>Opening Balance as on 01.04.2021                                                         (As per SAP after Audit)</t>
  </si>
  <si>
    <t>Add Receipts during the                            FY 2021-22</t>
  </si>
  <si>
    <t>Less Principal Repayment during the                        FY 2021-22</t>
  </si>
  <si>
    <t>Add Provision for Interest March 2022</t>
  </si>
  <si>
    <t>Add Adjustment Entries FY 2021-22</t>
  </si>
  <si>
    <t xml:space="preserve">Closing Balance as on 31.03.2022 </t>
  </si>
  <si>
    <t>Purpose of Loan</t>
  </si>
  <si>
    <t>Secured / unsecured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</si>
  <si>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</si>
  <si>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</si>
  <si>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</si>
  <si>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</si>
  <si>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</si>
  <si>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</si>
  <si>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</si>
  <si>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</si>
  <si>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</si>
  <si>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</si>
  <si>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</si>
  <si>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</si>
  <si>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</si>
  <si>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Rural Electrification Corporation</t>
  </si>
  <si>
    <t>TSPDCL</t>
  </si>
  <si>
    <t>Capital Expenditure</t>
  </si>
  <si>
    <t>Secured</t>
  </si>
  <si>
    <t>REC - DDUGJY Scheme</t>
  </si>
  <si>
    <t>Confirmations</t>
  </si>
  <si>
    <t>Drawal</t>
  </si>
  <si>
    <t>Repaid</t>
  </si>
  <si>
    <t>RGGVY</t>
  </si>
  <si>
    <t>RAPDRP</t>
  </si>
  <si>
    <t>REC - 9 hrs Power Supply</t>
  </si>
  <si>
    <t>TSSPDCL</t>
  </si>
  <si>
    <t>Bulk Scheme (FY 2015-16)</t>
  </si>
  <si>
    <t>TRANSCO</t>
  </si>
  <si>
    <t>APTRANSCO</t>
  </si>
  <si>
    <t>SPA (FY 2015-16)</t>
  </si>
  <si>
    <t>TSPCC</t>
  </si>
  <si>
    <t>IE:Distribution (FY2016-17)</t>
  </si>
  <si>
    <t>DDUGJY - TDS</t>
  </si>
  <si>
    <t>REC - DDUGJY Scheme 2016-17</t>
  </si>
  <si>
    <t>IE:Distribution &amp; Bulk (FY2017-18)</t>
  </si>
  <si>
    <t>IE:Distribution (FY2018-19)</t>
  </si>
  <si>
    <t>IE:Distribution (FY2019-20)</t>
  </si>
  <si>
    <t>Bulk Scheme (FY 2019-20)</t>
  </si>
  <si>
    <t>IE:Distribution &amp; Renovation Works (FY2019-20)</t>
  </si>
  <si>
    <t>Moratorium Loan - Capitalization - Capex</t>
  </si>
  <si>
    <t>IE:Distribution (FY2020-21)</t>
  </si>
  <si>
    <t>REC - Medium Term Loan</t>
  </si>
  <si>
    <t>Working Capital</t>
  </si>
  <si>
    <t>JBIC</t>
  </si>
  <si>
    <t>REC - Short Term Loan</t>
  </si>
  <si>
    <t>Regular</t>
  </si>
  <si>
    <t>APCPDCL</t>
  </si>
  <si>
    <t>REC - Special Term Loan</t>
  </si>
  <si>
    <t>Moratorium Loan - Capitalization - WC</t>
  </si>
  <si>
    <t>REC - SLTTL - Covid 19</t>
  </si>
  <si>
    <t>REC LOANS - TOTAL (A):</t>
  </si>
  <si>
    <t>Power Finance Corporation</t>
  </si>
  <si>
    <t>-</t>
  </si>
  <si>
    <t>PFC - IPDS Scheme</t>
  </si>
  <si>
    <t>PFC - Short Term Loan</t>
  </si>
  <si>
    <t>PFC - Flexi Line of Credit</t>
  </si>
  <si>
    <t>PFC - Medium Term Loan</t>
  </si>
  <si>
    <t>PFC - Term Loan</t>
  </si>
  <si>
    <t>PFC - SGPP Scheme</t>
  </si>
  <si>
    <t>PFC - SLTTL - Covid 19</t>
  </si>
  <si>
    <t>PFC LOANS - TOTAL (B):</t>
  </si>
  <si>
    <t>Term Loan</t>
  </si>
  <si>
    <t>PFS LOANS - TOTAL (C):</t>
  </si>
  <si>
    <t>IREDA LOAN - TOTAL (D):</t>
  </si>
  <si>
    <t>Short Term Loan from Banks &amp; FI</t>
  </si>
  <si>
    <t>SBH - CC Limit Account</t>
  </si>
  <si>
    <t>TSTRANSCO Loan</t>
  </si>
  <si>
    <t>UnSecured</t>
  </si>
  <si>
    <t>BANKS - TOTAL (E):</t>
  </si>
  <si>
    <t>Government Loan</t>
  </si>
  <si>
    <t>Unsecured</t>
  </si>
  <si>
    <t>JICA FUNDING</t>
  </si>
  <si>
    <t>GOVT. LOANS - TOTAL (F):</t>
  </si>
  <si>
    <t>TOTAL TERM LOANS (A+B+C+D+E+F):</t>
  </si>
  <si>
    <t>Andhra Bank</t>
  </si>
  <si>
    <t>Bank of India</t>
  </si>
  <si>
    <t>Central Bank of India</t>
  </si>
  <si>
    <t>Federal Bank</t>
  </si>
  <si>
    <t>IOB</t>
  </si>
  <si>
    <t>Indian Bank</t>
  </si>
  <si>
    <t>Punjab &amp; Sind Bank</t>
  </si>
  <si>
    <t>SBH</t>
  </si>
  <si>
    <t>Vijaya Bank</t>
  </si>
  <si>
    <t>FRP RESTRUCTURED LOAN - TOTAL (G):</t>
  </si>
  <si>
    <t>5301100 &amp; 5301200</t>
  </si>
  <si>
    <t>TSSPDCL PROVIDENT FUND TRUST</t>
  </si>
  <si>
    <t>APGENCO</t>
  </si>
  <si>
    <t>APGENCO PENSION AND GRATUITY TRUST</t>
  </si>
  <si>
    <t>TGENCO PENSION AND GRATUITY TRUST</t>
  </si>
  <si>
    <t>APTRANSCO PROVIDENT FUND TRUST</t>
  </si>
  <si>
    <t>THE SINGARENI COLLIERIES COMPANY LIMITED</t>
  </si>
  <si>
    <t>ANDHRA BANK</t>
  </si>
  <si>
    <t>SYNDICATE BANK</t>
  </si>
  <si>
    <t>THE FEDERAL BANK LIMITED</t>
  </si>
  <si>
    <t>11232 &amp;11233</t>
  </si>
  <si>
    <t>STATE BANK OF INDIA</t>
  </si>
  <si>
    <t>BANK OF BARODA</t>
  </si>
  <si>
    <t>INDIAN OVERSEAS BANK</t>
  </si>
  <si>
    <t>CENTRAL BANK OF INDIA</t>
  </si>
  <si>
    <t>INDIAN BANK</t>
  </si>
  <si>
    <t>BANK OF INDIA</t>
  </si>
  <si>
    <t>PUNJAB AND SIND BANK</t>
  </si>
  <si>
    <t>HPGCL EMPLOYEES PENSION FUND TRUST</t>
  </si>
  <si>
    <t>HVPNL EMPLOYEES PENSION FUND TRUST</t>
  </si>
  <si>
    <t>HVPNL EMPLOYEES PROVIDENT FUND TRUST</t>
  </si>
  <si>
    <t>HIMACHAL PRADESH STATE ELECTRICITY BOARD LIMITED GENERAL PROVIDENT FUND</t>
  </si>
  <si>
    <t>BONDS ISSUED UNDER FRP - TOTAL (H):</t>
  </si>
  <si>
    <t>TOTAL LOANS (A+B+C+D+E+F+G+H):</t>
  </si>
  <si>
    <t>Description</t>
  </si>
  <si>
    <t>As per Statement</t>
  </si>
  <si>
    <t>As per Annual Report</t>
  </si>
  <si>
    <t>Differnece</t>
  </si>
  <si>
    <t>Schedule - 4</t>
  </si>
  <si>
    <t>Schedule - 7</t>
  </si>
  <si>
    <t>Schedule - 9</t>
  </si>
  <si>
    <t>Rural Electrification Corporation (REC)</t>
  </si>
  <si>
    <t>Power Finance Corporation (PFC)</t>
  </si>
  <si>
    <t>PTC Financial Services Limited (PFS)</t>
  </si>
  <si>
    <t>Indian Renewable Energy Development Agency Limited (IREDA)</t>
  </si>
  <si>
    <t>Term Loans from Bank (FRP)</t>
  </si>
  <si>
    <t>Bonds issued under FRP</t>
  </si>
  <si>
    <t>SBI - CC Limit</t>
  </si>
  <si>
    <t>JICA Loan</t>
  </si>
  <si>
    <t>TOTAL Loans as on 31.03.2022</t>
  </si>
  <si>
    <t>Figures shown in Annual Reports</t>
  </si>
  <si>
    <t>:</t>
  </si>
  <si>
    <t>Difference</t>
  </si>
  <si>
    <t>Loan Balances of Anantapur and Kurnool deducted from total loan and adjusted</t>
  </si>
  <si>
    <t>Buildings</t>
  </si>
  <si>
    <t>Plant and Machinery</t>
  </si>
  <si>
    <t>Vehicles</t>
  </si>
  <si>
    <t>Office Equipment</t>
  </si>
  <si>
    <t>* Depreciation rates as per Hon'ble CERC Notification have been adopted from the current financial year.</t>
  </si>
  <si>
    <t>Grand Total of Previous Year</t>
  </si>
  <si>
    <t>GRAND TOTAL (a+b+c)</t>
  </si>
  <si>
    <t>d</t>
  </si>
  <si>
    <t>Sub Total</t>
  </si>
  <si>
    <t>Capital Work in Progress</t>
  </si>
  <si>
    <t>c</t>
  </si>
  <si>
    <t>Computer Software</t>
  </si>
  <si>
    <t>Intangible Assets</t>
  </si>
  <si>
    <t>b</t>
  </si>
  <si>
    <t>Computer &amp; IT Equipment</t>
  </si>
  <si>
    <t>Air Conditioners</t>
  </si>
  <si>
    <t>Furniture and Fixtures</t>
  </si>
  <si>
    <t>Meters and Metering equipment</t>
  </si>
  <si>
    <t>Lines and Cable Network</t>
  </si>
  <si>
    <t>Other Civil Works</t>
  </si>
  <si>
    <t xml:space="preserve">Land </t>
  </si>
  <si>
    <t>Plant, Property and Equipment</t>
  </si>
  <si>
    <t>a</t>
  </si>
  <si>
    <t>₹</t>
  </si>
  <si>
    <t>As at March 
31, 2022</t>
  </si>
  <si>
    <t>As at 31st 
March 2023</t>
  </si>
  <si>
    <t>As at 31st March 2023</t>
  </si>
  <si>
    <t>Deletions through business combinations</t>
  </si>
  <si>
    <t>Additions  through business combinations</t>
  </si>
  <si>
    <t xml:space="preserve">Deletions/ Adjustments </t>
  </si>
  <si>
    <t>Depreciation charge for the year</t>
  </si>
  <si>
    <t>As at 1st 
April 2022</t>
  </si>
  <si>
    <t>Deletions Through Business Combinations</t>
  </si>
  <si>
    <t>Acquired through business combinations</t>
  </si>
  <si>
    <t xml:space="preserve">Deletions/      Adjustments </t>
  </si>
  <si>
    <t xml:space="preserve">Additions </t>
  </si>
  <si>
    <t>As at April 1, 2022</t>
  </si>
  <si>
    <t xml:space="preserve">    Net Carrying Values</t>
  </si>
  <si>
    <t>Depreciation &amp; Amortization</t>
  </si>
  <si>
    <t>Gross  Carrying Values</t>
  </si>
  <si>
    <t>S. No</t>
  </si>
  <si>
    <t xml:space="preserve">                                                                                            Note No.11 - Property Plant, Equipment and Intangibles                       (Rs. In Crore)                                                                                                                                                                   </t>
  </si>
  <si>
    <t>Safety measures</t>
  </si>
  <si>
    <t>Employee Cost per substation</t>
  </si>
  <si>
    <t>Employee Cost per km of line length</t>
  </si>
  <si>
    <t>Employee cost per DTR</t>
  </si>
  <si>
    <t>Employee Cost per consumer</t>
  </si>
  <si>
    <t>Quantum Approved</t>
  </si>
  <si>
    <t>Employee Cost</t>
  </si>
  <si>
    <t>Employee Costs per unit</t>
  </si>
  <si>
    <t>Total Employee Cost</t>
  </si>
  <si>
    <t>A&amp;G per unit</t>
  </si>
  <si>
    <t>Approved per unit cost (Rs)</t>
  </si>
  <si>
    <t>R&amp;M Expenses</t>
  </si>
  <si>
    <t>K Factor</t>
  </si>
  <si>
    <t>R&amp;M Expenses of FY 2022-23</t>
  </si>
  <si>
    <r>
      <t xml:space="preserve">WACC Calculations </t>
    </r>
    <r>
      <rPr>
        <b/>
        <sz val="12"/>
        <color rgb="FFFF0000"/>
        <rFont val="Arial"/>
        <family val="2"/>
      </rPr>
      <t>actual</t>
    </r>
  </si>
  <si>
    <t xml:space="preserve">CAPEX </t>
  </si>
  <si>
    <t xml:space="preserve">Capitalization </t>
  </si>
  <si>
    <t>From note 27</t>
  </si>
  <si>
    <t>Operation &amp; Maintenance expense Summary</t>
  </si>
  <si>
    <t>Compensation</t>
  </si>
  <si>
    <t>Repairs to Buildings &amp; Civil works</t>
  </si>
  <si>
    <t>Repairs to Plant &amp; Machinery</t>
  </si>
  <si>
    <t>Repairs to Vehicles</t>
  </si>
  <si>
    <t>R&amp;M – Others</t>
  </si>
  <si>
    <t>NTI DISTRIBUTION TOTAL</t>
  </si>
  <si>
    <t>k factor</t>
  </si>
  <si>
    <t>Opening GFA of FY 2022-23 (Approved in APR)</t>
  </si>
  <si>
    <t>As at April 1, 2023</t>
  </si>
  <si>
    <t>As at 31st March 2024</t>
  </si>
  <si>
    <t>As at 1st 
April 2023</t>
  </si>
  <si>
    <t>As at 31st 
March 2024</t>
  </si>
  <si>
    <t>As at March 
31, 2023</t>
  </si>
  <si>
    <t>* Depreciation rates as per Hon'ble CERC Notification have been adopted from the previous financial year i.e. 2022-23</t>
  </si>
  <si>
    <t>FY2023-24</t>
  </si>
  <si>
    <t>R&amp;M Cost Approved</t>
  </si>
  <si>
    <t>Computation of Opening GFA Approved in APR::</t>
  </si>
  <si>
    <t>Opening GFA Approved in APR 2022-23</t>
  </si>
  <si>
    <t>Opening GFA Approved in MYT Tariff Order for FY 2023-24</t>
  </si>
  <si>
    <t>.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</si>
  <si>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</si>
  <si>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</si>
  <si>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</si>
  <si>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</si>
  <si>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</si>
  <si>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</si>
  <si>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</si>
  <si>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</si>
  <si>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</si>
  <si>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>Income from sale of tender documents</t>
  </si>
  <si>
    <t>Any other Non-Tariff Income</t>
  </si>
  <si>
    <t>Income from consumer charges levied in accordance with Schedule of Charges approved by the Commission</t>
  </si>
  <si>
    <t>Supervision charges for capital works</t>
  </si>
  <si>
    <t>Sl.No</t>
  </si>
  <si>
    <t>Sc.No</t>
  </si>
  <si>
    <t>Cat- I</t>
  </si>
  <si>
    <t>Cat-II</t>
  </si>
  <si>
    <t>RJN1884</t>
  </si>
  <si>
    <t>RJN1957</t>
  </si>
  <si>
    <t>SGR034</t>
  </si>
  <si>
    <t>SGR586</t>
  </si>
  <si>
    <t>VKB1737</t>
  </si>
  <si>
    <t>BJH141</t>
  </si>
  <si>
    <t>BJH612</t>
  </si>
  <si>
    <t>FY 2023-24</t>
  </si>
  <si>
    <t>2023-24</t>
  </si>
  <si>
    <r>
      <t xml:space="preserve">Other Expenditure for FY 2023-24 </t>
    </r>
    <r>
      <rPr>
        <b/>
        <sz val="11"/>
        <color rgb="FFFF0000"/>
        <rFont val="Calibri"/>
        <family val="2"/>
        <scheme val="minor"/>
      </rPr>
      <t>(Actual)</t>
    </r>
  </si>
  <si>
    <t>Details of Open Access consumer wise wheeling charges for 
F.Y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</si>
</sst>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0.00_);\(0.00\)"/>
    <numFmt numFmtId="167" formatCode="_ * #,##0_ ;_ * \-#,##0_ ;_ * &quot;-&quot;??_ ;_ @_ "/>
    <numFmt numFmtId="168" formatCode="_(* #,##0_);_(* \(#,##0\);_(* &quot;-&quot;??_);_(@_)"/>
    <numFmt numFmtId="169" formatCode="&quot;$&quot;#,##0;\-&quot;$&quot;#,##0"/>
    <numFmt numFmtId="170" formatCode="_-* #,##0.00_-;\-* #,##0.00_-;_-* &quot;-&quot;??_-;_-@_-"/>
    <numFmt numFmtId="171" formatCode="_ &quot;\&quot;* #,##0_ ;_ &quot;\&quot;* \-#,##0_ ;_ &quot;\&quot;* &quot;-&quot;_ ;_ @_ "/>
    <numFmt numFmtId="172" formatCode="_ &quot;\&quot;* #,##0.00_ ;_ &quot;\&quot;* \-#,##0.00_ ;_ &quot;\&quot;* &quot;-&quot;??_ ;_ @_ "/>
    <numFmt numFmtId="173" formatCode="&quot;$&quot;#,##0.0000_);\(&quot;$&quot;#,##0.0000\)"/>
    <numFmt numFmtId="174" formatCode="&quot;\&quot;#,##0.00;[Red]\-&quot;\&quot;#,##0.00"/>
    <numFmt numFmtId="175" formatCode="&quot;On&quot;;&quot;On&quot;;&quot;Off&quot;"/>
    <numFmt numFmtId="176" formatCode="0_);\(0\)"/>
    <numFmt numFmtId="177" formatCode="#,##0.0"/>
    <numFmt numFmtId="178" formatCode="#,##0.0_);\(#,##0.0\)"/>
    <numFmt numFmtId="179" formatCode="0\);"/>
    <numFmt numFmtId="180" formatCode="#,##0;[Red]\(#,##0\)"/>
    <numFmt numFmtId="181" formatCode="#,##0.0000_)"/>
    <numFmt numFmtId="182" formatCode="##,##0.000_);\(#,##0.000\)"/>
    <numFmt numFmtId="183" formatCode="0.00_)"/>
    <numFmt numFmtId="184" formatCode="_-* #,##0_-;\-* #,##0_-;_-* &quot;-&quot;_-;_-@_-"/>
    <numFmt numFmtId="185" formatCode="_(&quot;$&quot;* #,##0.0000000_);_(&quot;$&quot;* \(#,##0.0000000\);_(&quot;$&quot;* &quot;-&quot;??_);_(@_)"/>
    <numFmt numFmtId="186" formatCode="0.000000"/>
    <numFmt numFmtId="187" formatCode="0.000%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i/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ook Antiqua"/>
      <family val="1"/>
    </font>
    <font>
      <sz val="11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theme="1"/>
      <name val="Book Antiqua"/>
      <family val="1"/>
    </font>
    <font>
      <b/>
      <sz val="11"/>
      <color theme="1"/>
      <name val="Book Antiqua"/>
      <family val="1"/>
    </font>
    <font>
      <sz val="12"/>
      <color rgb="FF000000"/>
      <name val="Arial"/>
      <family val="2"/>
    </font>
    <font>
      <sz val="11"/>
      <name val="Book Antiqua"/>
      <family val="1"/>
    </font>
    <font>
      <b/>
      <sz val="11"/>
      <name val="Book Antiqua"/>
      <family val="1"/>
    </font>
    <font>
      <sz val="11"/>
      <color theme="1"/>
      <name val="Maiandra GD"/>
      <family val="2"/>
    </font>
    <font>
      <sz val="12"/>
      <color theme="1"/>
      <name val="Maiandra GD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4"/>
      <name val="AngsanaUPC"/>
      <family val="1"/>
    </font>
    <font>
      <sz val="12"/>
      <name val="¹ÙÅÁÃ¼"/>
      <family val="1"/>
      <charset val="129"/>
    </font>
    <font>
      <sz val="8"/>
      <name val="Times New Roman"/>
      <family val="1"/>
    </font>
    <font>
      <sz val="12"/>
      <name val="¹ÙÅÁÃ¼"/>
      <charset val="129"/>
    </font>
    <font>
      <sz val="10"/>
      <name val="MS Serif"/>
      <family val="1"/>
    </font>
    <font>
      <sz val="10"/>
      <name val="Courier"/>
      <family val="3"/>
    </font>
    <font>
      <sz val="10"/>
      <color indexed="16"/>
      <name val="MS Serif"/>
      <family val="1"/>
    </font>
    <font>
      <sz val="10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theme="10"/>
      <name val="Calibri"/>
      <family val="2"/>
    </font>
    <font>
      <u/>
      <sz val="9"/>
      <color indexed="12"/>
      <name val="Arial"/>
      <family val="2"/>
    </font>
    <font>
      <sz val="12"/>
      <name val="Helv"/>
    </font>
    <font>
      <sz val="12"/>
      <color indexed="9"/>
      <name val="Helv"/>
    </font>
    <font>
      <sz val="11"/>
      <color rgb="FF9C5700"/>
      <name val="Calibri"/>
      <family val="2"/>
      <scheme val="minor"/>
    </font>
    <font>
      <sz val="7"/>
      <name val="Small Fonts"/>
      <family val="2"/>
    </font>
    <font>
      <b/>
      <i/>
      <sz val="16"/>
      <name val="Helv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  <family val="2"/>
    </font>
    <font>
      <u/>
      <sz val="9"/>
      <color indexed="36"/>
      <name val="Arial"/>
      <family val="2"/>
    </font>
    <font>
      <sz val="10"/>
      <color indexed="8"/>
      <name val="Arial"/>
      <family val="2"/>
    </font>
    <font>
      <b/>
      <sz val="8"/>
      <color indexed="8"/>
      <name val="Helv"/>
    </font>
    <font>
      <sz val="18"/>
      <color theme="3"/>
      <name val="Cambria"/>
      <family val="2"/>
      <scheme val="major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1"/>
      <color theme="0" tint="-0.34998626667073579"/>
      <name val="Arial"/>
      <family val="2"/>
    </font>
    <font>
      <b/>
      <sz val="11"/>
      <name val="Times New Roman"/>
      <family val="1"/>
    </font>
    <font>
      <b/>
      <sz val="10"/>
      <name val="Arial"/>
      <family val="2"/>
    </font>
    <font>
      <sz val="11"/>
      <name val="Times New Roman"/>
      <family val="1"/>
    </font>
    <font>
      <sz val="12"/>
      <name val="Rupee Foradian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i/>
      <sz val="8"/>
      <color theme="1"/>
      <name val="Arial"/>
      <family val="2"/>
    </font>
    <font>
      <sz val="11"/>
      <color theme="0"/>
      <name val="Arial"/>
      <family val="2"/>
    </font>
    <font>
      <sz val="11"/>
      <color rgb="FF000000"/>
      <name val="Book Antiqua"/>
      <family val="1"/>
    </font>
    <font>
      <b/>
      <sz val="11"/>
      <color rgb="FF000000"/>
      <name val="Book Antiqua"/>
      <family val="1"/>
    </font>
    <font>
      <sz val="10"/>
      <name val="Arial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169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0" fontId="26" fillId="0" borderId="0"/>
    <xf numFmtId="0" fontId="26" fillId="0" borderId="0"/>
    <xf numFmtId="0" fontId="1" fillId="0" borderId="0"/>
    <xf numFmtId="0" fontId="1" fillId="0" borderId="0"/>
    <xf numFmtId="0" fontId="28" fillId="0" borderId="0"/>
    <xf numFmtId="0" fontId="26" fillId="0" borderId="0"/>
    <xf numFmtId="0" fontId="26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9" fontId="29" fillId="0" borderId="0"/>
    <xf numFmtId="171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0" fontId="31" fillId="0" borderId="0">
      <alignment horizontal="center" vertical="top" wrapText="1"/>
      <protection locked="0"/>
    </xf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32" fillId="0" borderId="0"/>
    <xf numFmtId="173" fontId="26" fillId="0" borderId="0" applyFill="0" applyBorder="0" applyAlignment="0"/>
    <xf numFmtId="174" fontId="26" fillId="0" borderId="0"/>
    <xf numFmtId="174" fontId="26" fillId="0" borderId="0"/>
    <xf numFmtId="174" fontId="26" fillId="0" borderId="0"/>
    <xf numFmtId="174" fontId="26" fillId="0" borderId="0"/>
    <xf numFmtId="174" fontId="26" fillId="0" borderId="0"/>
    <xf numFmtId="174" fontId="26" fillId="0" borderId="0"/>
    <xf numFmtId="174" fontId="26" fillId="0" borderId="0"/>
    <xf numFmtId="174" fontId="26" fillId="0" borderId="0"/>
    <xf numFmtId="41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 applyNumberFormat="0" applyAlignment="0">
      <alignment horizontal="left"/>
    </xf>
    <xf numFmtId="0" fontId="34" fillId="0" borderId="0" applyNumberFormat="0" applyAlignment="0"/>
    <xf numFmtId="15" fontId="22" fillId="0" borderId="12"/>
    <xf numFmtId="0" fontId="35" fillId="0" borderId="0" applyNumberFormat="0" applyAlignment="0">
      <alignment horizontal="left"/>
    </xf>
    <xf numFmtId="177" fontId="36" fillId="0" borderId="13">
      <alignment horizontal="right"/>
    </xf>
    <xf numFmtId="38" fontId="37" fillId="11" borderId="0" applyNumberFormat="0" applyBorder="0" applyAlignment="0" applyProtection="0"/>
    <xf numFmtId="0" fontId="38" fillId="0" borderId="14" applyNumberFormat="0" applyAlignment="0" applyProtection="0">
      <alignment horizontal="left"/>
    </xf>
    <xf numFmtId="0" fontId="38" fillId="0" borderId="5">
      <alignment horizontal="left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0" fontId="37" fillId="12" borderId="3" applyNumberFormat="0" applyBorder="0" applyAlignment="0" applyProtection="0"/>
    <xf numFmtId="178" fontId="41" fillId="13" borderId="0"/>
    <xf numFmtId="178" fontId="42" fillId="14" borderId="0"/>
    <xf numFmtId="179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2" fontId="26" fillId="0" borderId="0" applyFont="0" applyFill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37" fontId="44" fillId="0" borderId="0"/>
    <xf numFmtId="183" fontId="4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1" applyNumberFormat="0" applyFont="0" applyAlignment="0" applyProtection="0"/>
    <xf numFmtId="170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4" fontId="31" fillId="0" borderId="0">
      <alignment horizontal="center" vertical="top" wrapText="1"/>
      <protection locked="0"/>
    </xf>
    <xf numFmtId="10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0" applyFont="0"/>
    <xf numFmtId="169" fontId="47" fillId="0" borderId="0"/>
    <xf numFmtId="0" fontId="48" fillId="0" borderId="0" applyNumberFormat="0" applyFont="0" applyFill="0" applyBorder="0" applyAlignment="0" applyProtection="0">
      <alignment horizontal="left"/>
    </xf>
    <xf numFmtId="185" fontId="26" fillId="0" borderId="0" applyNumberFormat="0" applyFill="0" applyBorder="0" applyAlignment="0" applyProtection="0">
      <alignment horizontal="left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/>
    <xf numFmtId="0" fontId="50" fillId="0" borderId="0"/>
    <xf numFmtId="40" fontId="51" fillId="0" borderId="0" applyBorder="0">
      <alignment horizontal="right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/>
    <xf numFmtId="0" fontId="70" fillId="0" borderId="0"/>
  </cellStyleXfs>
  <cellXfs count="393">
    <xf numFmtId="0" fontId="0" fillId="0" borderId="0" xfId="0"/>
    <xf numFmtId="0" fontId="4" fillId="0" borderId="0" xfId="0" applyFont="1"/>
    <xf numFmtId="2" fontId="4" fillId="0" borderId="3" xfId="0" applyNumberFormat="1" applyFont="1" applyFill="1" applyBorder="1"/>
    <xf numFmtId="0" fontId="8" fillId="0" borderId="3" xfId="0" applyFont="1" applyFill="1" applyBorder="1"/>
    <xf numFmtId="0" fontId="9" fillId="0" borderId="3" xfId="0" applyFont="1" applyFill="1" applyBorder="1"/>
    <xf numFmtId="0" fontId="8" fillId="0" borderId="0" xfId="0" applyFont="1" applyFill="1" applyBorder="1"/>
    <xf numFmtId="0" fontId="0" fillId="0" borderId="3" xfId="0" applyBorder="1"/>
    <xf numFmtId="0" fontId="5" fillId="0" borderId="3" xfId="0" applyFont="1" applyFill="1" applyBorder="1"/>
    <xf numFmtId="0" fontId="4" fillId="0" borderId="3" xfId="0" applyFont="1" applyFill="1" applyBorder="1"/>
    <xf numFmtId="2" fontId="5" fillId="0" borderId="3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5" fillId="0" borderId="3" xfId="0" applyNumberFormat="1" applyFont="1" applyFill="1" applyBorder="1"/>
    <xf numFmtId="43" fontId="5" fillId="0" borderId="3" xfId="0" applyNumberFormat="1" applyFont="1" applyFill="1" applyBorder="1"/>
    <xf numFmtId="2" fontId="4" fillId="0" borderId="3" xfId="0" applyNumberFormat="1" applyFont="1" applyFill="1" applyBorder="1" applyAlignment="1">
      <alignment horizontal="center"/>
    </xf>
    <xf numFmtId="43" fontId="4" fillId="0" borderId="3" xfId="0" applyNumberFormat="1" applyFont="1" applyFill="1" applyBorder="1"/>
    <xf numFmtId="0" fontId="2" fillId="0" borderId="3" xfId="0" applyFont="1" applyBorder="1"/>
    <xf numFmtId="0" fontId="0" fillId="0" borderId="0" xfId="0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 wrapText="1"/>
    </xf>
    <xf numFmtId="17" fontId="14" fillId="0" borderId="3" xfId="0" applyNumberFormat="1" applyFont="1" applyBorder="1"/>
    <xf numFmtId="167" fontId="14" fillId="0" borderId="3" xfId="3" applyNumberFormat="1" applyFont="1" applyBorder="1"/>
    <xf numFmtId="4" fontId="14" fillId="0" borderId="0" xfId="0" applyNumberFormat="1" applyFont="1"/>
    <xf numFmtId="17" fontId="14" fillId="0" borderId="3" xfId="0" applyNumberFormat="1" applyFont="1" applyBorder="1" applyAlignment="1">
      <alignment wrapText="1"/>
    </xf>
    <xf numFmtId="0" fontId="15" fillId="0" borderId="3" xfId="0" applyFont="1" applyBorder="1"/>
    <xf numFmtId="167" fontId="15" fillId="0" borderId="3" xfId="3" applyNumberFormat="1" applyFont="1" applyBorder="1"/>
    <xf numFmtId="0" fontId="15" fillId="0" borderId="0" xfId="0" applyFont="1"/>
    <xf numFmtId="4" fontId="15" fillId="0" borderId="0" xfId="0" applyNumberFormat="1" applyFont="1"/>
    <xf numFmtId="167" fontId="14" fillId="0" borderId="0" xfId="0" applyNumberFormat="1" applyFont="1"/>
    <xf numFmtId="43" fontId="14" fillId="0" borderId="0" xfId="0" applyNumberFormat="1" applyFont="1"/>
    <xf numFmtId="165" fontId="14" fillId="0" borderId="0" xfId="0" applyNumberFormat="1" applyFont="1"/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8" xfId="0" quotePrefix="1" applyFont="1" applyFill="1" applyBorder="1" applyAlignment="1">
      <alignment horizontal="center" vertical="center" wrapText="1"/>
    </xf>
    <xf numFmtId="0" fontId="20" fillId="0" borderId="8" xfId="0" quotePrefix="1" applyFont="1" applyFill="1" applyBorder="1" applyAlignment="1">
      <alignment horizontal="center" vertical="center"/>
    </xf>
    <xf numFmtId="0" fontId="20" fillId="0" borderId="3" xfId="0" quotePrefix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/>
    </xf>
    <xf numFmtId="10" fontId="17" fillId="0" borderId="7" xfId="0" applyNumberFormat="1" applyFont="1" applyFill="1" applyBorder="1" applyAlignment="1">
      <alignment vertical="center" wrapText="1"/>
    </xf>
    <xf numFmtId="43" fontId="17" fillId="0" borderId="3" xfId="1" applyFont="1" applyFill="1" applyBorder="1" applyAlignment="1">
      <alignment vertical="center"/>
    </xf>
    <xf numFmtId="168" fontId="17" fillId="0" borderId="3" xfId="1" applyNumberFormat="1" applyFont="1" applyFill="1" applyBorder="1" applyAlignment="1">
      <alignment vertical="center"/>
    </xf>
    <xf numFmtId="168" fontId="17" fillId="0" borderId="0" xfId="0" applyNumberFormat="1" applyFont="1" applyFill="1" applyAlignment="1">
      <alignment vertical="center"/>
    </xf>
    <xf numFmtId="10" fontId="17" fillId="0" borderId="11" xfId="0" applyNumberFormat="1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43" fontId="17" fillId="0" borderId="0" xfId="1" applyFont="1" applyFill="1" applyAlignment="1">
      <alignment vertical="center"/>
    </xf>
    <xf numFmtId="168" fontId="17" fillId="0" borderId="0" xfId="1" applyNumberFormat="1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4" fontId="17" fillId="0" borderId="0" xfId="0" applyNumberFormat="1" applyFont="1" applyFill="1" applyAlignment="1">
      <alignment vertical="center"/>
    </xf>
    <xf numFmtId="43" fontId="0" fillId="0" borderId="0" xfId="1" applyFont="1" applyFill="1" applyAlignment="1">
      <alignment vertical="center"/>
    </xf>
    <xf numFmtId="168" fontId="21" fillId="0" borderId="0" xfId="1" applyNumberFormat="1" applyFont="1" applyFill="1"/>
    <xf numFmtId="43" fontId="17" fillId="0" borderId="0" xfId="0" applyNumberFormat="1" applyFont="1" applyFill="1" applyAlignment="1">
      <alignment vertical="center"/>
    </xf>
    <xf numFmtId="0" fontId="17" fillId="0" borderId="3" xfId="0" applyFont="1" applyFill="1" applyBorder="1" applyAlignment="1">
      <alignment vertical="center" wrapText="1"/>
    </xf>
    <xf numFmtId="10" fontId="17" fillId="0" borderId="8" xfId="0" applyNumberFormat="1" applyFont="1" applyFill="1" applyBorder="1" applyAlignment="1">
      <alignment vertical="center" wrapText="1"/>
    </xf>
    <xf numFmtId="10" fontId="17" fillId="0" borderId="8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168" fontId="17" fillId="0" borderId="3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right" vertical="center"/>
    </xf>
    <xf numFmtId="43" fontId="20" fillId="0" borderId="3" xfId="1" applyFont="1" applyFill="1" applyBorder="1" applyAlignment="1">
      <alignment vertical="center"/>
    </xf>
    <xf numFmtId="168" fontId="20" fillId="0" borderId="3" xfId="1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168" fontId="20" fillId="0" borderId="0" xfId="0" applyNumberFormat="1" applyFont="1" applyFill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10" fontId="17" fillId="0" borderId="3" xfId="0" applyNumberFormat="1" applyFont="1" applyFill="1" applyBorder="1" applyAlignment="1">
      <alignment horizontal="right" vertical="center"/>
    </xf>
    <xf numFmtId="168" fontId="17" fillId="0" borderId="7" xfId="1" applyNumberFormat="1" applyFont="1" applyFill="1" applyBorder="1" applyAlignment="1">
      <alignment vertical="center"/>
    </xf>
    <xf numFmtId="168" fontId="17" fillId="0" borderId="8" xfId="1" applyNumberFormat="1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/>
    </xf>
    <xf numFmtId="10" fontId="22" fillId="0" borderId="3" xfId="0" applyNumberFormat="1" applyFont="1" applyFill="1" applyBorder="1" applyAlignment="1">
      <alignment horizontal="right" vertical="center"/>
    </xf>
    <xf numFmtId="43" fontId="22" fillId="0" borderId="3" xfId="1" applyFont="1" applyFill="1" applyBorder="1" applyAlignment="1">
      <alignment vertical="center"/>
    </xf>
    <xf numFmtId="168" fontId="22" fillId="0" borderId="3" xfId="1" applyNumberFormat="1" applyFont="1" applyFill="1" applyBorder="1" applyAlignment="1">
      <alignment vertical="center"/>
    </xf>
    <xf numFmtId="168" fontId="22" fillId="0" borderId="8" xfId="1" applyNumberFormat="1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0" fontId="17" fillId="0" borderId="3" xfId="0" applyNumberFormat="1" applyFont="1" applyFill="1" applyBorder="1" applyAlignment="1">
      <alignment horizontal="center" vertical="center"/>
    </xf>
    <xf numFmtId="168" fontId="17" fillId="0" borderId="0" xfId="1" applyNumberFormat="1" applyFont="1" applyFill="1" applyBorder="1" applyAlignment="1">
      <alignment vertical="center"/>
    </xf>
    <xf numFmtId="168" fontId="17" fillId="0" borderId="0" xfId="0" applyNumberFormat="1" applyFont="1" applyFill="1" applyBorder="1" applyAlignment="1">
      <alignment vertical="center"/>
    </xf>
    <xf numFmtId="1" fontId="24" fillId="0" borderId="3" xfId="0" applyNumberFormat="1" applyFont="1" applyFill="1" applyBorder="1" applyAlignment="1">
      <alignment vertical="center" wrapText="1"/>
    </xf>
    <xf numFmtId="2" fontId="25" fillId="0" borderId="3" xfId="0" applyNumberFormat="1" applyFont="1" applyFill="1" applyBorder="1" applyAlignment="1">
      <alignment vertical="center" wrapText="1"/>
    </xf>
    <xf numFmtId="168" fontId="20" fillId="0" borderId="3" xfId="1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8" fontId="17" fillId="0" borderId="0" xfId="1" applyNumberFormat="1" applyFont="1" applyFill="1" applyAlignment="1">
      <alignment vertical="center" wrapText="1"/>
    </xf>
    <xf numFmtId="168" fontId="20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168" fontId="17" fillId="0" borderId="3" xfId="0" applyNumberFormat="1" applyFont="1" applyFill="1" applyBorder="1" applyAlignment="1">
      <alignment vertical="center"/>
    </xf>
    <xf numFmtId="168" fontId="17" fillId="0" borderId="0" xfId="0" applyNumberFormat="1" applyFont="1" applyFill="1" applyAlignment="1">
      <alignment vertical="center" wrapText="1"/>
    </xf>
    <xf numFmtId="168" fontId="20" fillId="0" borderId="3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right" vertical="center"/>
    </xf>
    <xf numFmtId="168" fontId="27" fillId="0" borderId="0" xfId="4" applyNumberFormat="1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right"/>
    </xf>
    <xf numFmtId="0" fontId="53" fillId="0" borderId="0" xfId="110"/>
    <xf numFmtId="1" fontId="38" fillId="0" borderId="0" xfId="110" applyNumberFormat="1" applyFont="1" applyAlignment="1">
      <alignment horizontal="center" vertical="center"/>
    </xf>
    <xf numFmtId="0" fontId="54" fillId="0" borderId="0" xfId="110" applyFont="1"/>
    <xf numFmtId="0" fontId="38" fillId="0" borderId="0" xfId="110" applyFont="1" applyAlignment="1">
      <alignment horizontal="center" vertical="center"/>
    </xf>
    <xf numFmtId="0" fontId="55" fillId="0" borderId="0" xfId="110" applyFont="1" applyAlignment="1">
      <alignment horizontal="center" vertical="center"/>
    </xf>
    <xf numFmtId="4" fontId="53" fillId="0" borderId="0" xfId="110" applyNumberFormat="1"/>
    <xf numFmtId="165" fontId="53" fillId="0" borderId="0" xfId="110" applyNumberFormat="1"/>
    <xf numFmtId="4" fontId="54" fillId="10" borderId="0" xfId="110" applyNumberFormat="1" applyFont="1" applyFill="1"/>
    <xf numFmtId="0" fontId="54" fillId="10" borderId="0" xfId="110" applyFont="1" applyFill="1"/>
    <xf numFmtId="168" fontId="53" fillId="0" borderId="0" xfId="110" applyNumberFormat="1"/>
    <xf numFmtId="0" fontId="56" fillId="0" borderId="0" xfId="110" applyFont="1"/>
    <xf numFmtId="3" fontId="53" fillId="0" borderId="0" xfId="110" applyNumberFormat="1"/>
    <xf numFmtId="3" fontId="53" fillId="0" borderId="0" xfId="110" applyNumberFormat="1" applyAlignment="1">
      <alignment horizontal="right" vertical="center"/>
    </xf>
    <xf numFmtId="2" fontId="54" fillId="0" borderId="0" xfId="110" applyNumberFormat="1" applyFont="1"/>
    <xf numFmtId="168" fontId="26" fillId="0" borderId="0" xfId="4" applyNumberFormat="1" applyFont="1" applyFill="1"/>
    <xf numFmtId="2" fontId="53" fillId="0" borderId="0" xfId="110" applyNumberFormat="1"/>
    <xf numFmtId="168" fontId="54" fillId="0" borderId="0" xfId="110" applyNumberFormat="1" applyFont="1"/>
    <xf numFmtId="0" fontId="26" fillId="0" borderId="0" xfId="110" applyFont="1"/>
    <xf numFmtId="43" fontId="54" fillId="0" borderId="0" xfId="110" applyNumberFormat="1" applyFont="1"/>
    <xf numFmtId="1" fontId="54" fillId="0" borderId="0" xfId="110" applyNumberFormat="1" applyFont="1"/>
    <xf numFmtId="43" fontId="38" fillId="0" borderId="0" xfId="110" applyNumberFormat="1" applyFont="1" applyFill="1"/>
    <xf numFmtId="186" fontId="53" fillId="0" borderId="0" xfId="110" applyNumberFormat="1"/>
    <xf numFmtId="0" fontId="7" fillId="0" borderId="0" xfId="110" applyFont="1"/>
    <xf numFmtId="1" fontId="7" fillId="0" borderId="0" xfId="110" applyNumberFormat="1" applyFont="1" applyAlignment="1">
      <alignment horizontal="center" vertical="center"/>
    </xf>
    <xf numFmtId="0" fontId="57" fillId="0" borderId="0" xfId="110" applyFont="1" applyAlignment="1">
      <alignment horizontal="center" vertical="center"/>
    </xf>
    <xf numFmtId="0" fontId="7" fillId="0" borderId="0" xfId="110" applyFont="1" applyAlignment="1"/>
    <xf numFmtId="168" fontId="53" fillId="0" borderId="0" xfId="110" applyNumberFormat="1" applyAlignment="1"/>
    <xf numFmtId="1" fontId="7" fillId="0" borderId="0" xfId="110" applyNumberFormat="1" applyFont="1" applyAlignment="1">
      <alignment horizontal="center"/>
    </xf>
    <xf numFmtId="168" fontId="58" fillId="0" borderId="0" xfId="4" applyNumberFormat="1" applyFont="1" applyBorder="1" applyAlignment="1"/>
    <xf numFmtId="43" fontId="58" fillId="0" borderId="3" xfId="4" applyNumberFormat="1" applyFont="1" applyBorder="1" applyAlignment="1"/>
    <xf numFmtId="43" fontId="58" fillId="0" borderId="3" xfId="4" applyNumberFormat="1" applyFont="1" applyFill="1" applyBorder="1" applyAlignment="1"/>
    <xf numFmtId="0" fontId="58" fillId="0" borderId="3" xfId="110" applyFont="1" applyFill="1" applyBorder="1" applyAlignment="1">
      <alignment wrapText="1"/>
    </xf>
    <xf numFmtId="0" fontId="7" fillId="0" borderId="3" xfId="110" applyFont="1" applyBorder="1" applyAlignment="1">
      <alignment horizontal="center"/>
    </xf>
    <xf numFmtId="0" fontId="57" fillId="0" borderId="0" xfId="110" applyFont="1" applyAlignment="1">
      <alignment horizontal="center"/>
    </xf>
    <xf numFmtId="0" fontId="53" fillId="0" borderId="0" xfId="110" applyFill="1" applyAlignment="1"/>
    <xf numFmtId="1" fontId="38" fillId="0" borderId="0" xfId="110" applyNumberFormat="1" applyFont="1" applyFill="1" applyAlignment="1">
      <alignment horizontal="center"/>
    </xf>
    <xf numFmtId="168" fontId="58" fillId="0" borderId="0" xfId="4" applyNumberFormat="1" applyFont="1" applyFill="1" applyBorder="1" applyAlignment="1">
      <alignment horizontal="right"/>
    </xf>
    <xf numFmtId="43" fontId="58" fillId="0" borderId="3" xfId="4" applyNumberFormat="1" applyFont="1" applyFill="1" applyBorder="1" applyAlignment="1">
      <alignment horizontal="right"/>
    </xf>
    <xf numFmtId="0" fontId="58" fillId="0" borderId="3" xfId="110" applyFont="1" applyFill="1" applyBorder="1" applyAlignment="1">
      <alignment horizontal="center" wrapText="1"/>
    </xf>
    <xf numFmtId="0" fontId="7" fillId="0" borderId="3" xfId="110" applyFont="1" applyFill="1" applyBorder="1" applyAlignment="1">
      <alignment horizontal="center"/>
    </xf>
    <xf numFmtId="0" fontId="55" fillId="0" borderId="0" xfId="110" applyFont="1" applyFill="1" applyAlignment="1">
      <alignment horizontal="center"/>
    </xf>
    <xf numFmtId="0" fontId="59" fillId="0" borderId="0" xfId="110" applyFont="1" applyFill="1" applyAlignment="1"/>
    <xf numFmtId="168" fontId="60" fillId="0" borderId="11" xfId="4" applyNumberFormat="1" applyFont="1" applyFill="1" applyBorder="1" applyAlignment="1">
      <alignment horizontal="right"/>
    </xf>
    <xf numFmtId="43" fontId="60" fillId="0" borderId="3" xfId="4" applyNumberFormat="1" applyFont="1" applyFill="1" applyBorder="1" applyAlignment="1">
      <alignment horizontal="right"/>
    </xf>
    <xf numFmtId="43" fontId="60" fillId="0" borderId="3" xfId="4" applyNumberFormat="1" applyFont="1" applyFill="1" applyBorder="1" applyAlignment="1">
      <alignment horizontal="right" wrapText="1"/>
    </xf>
    <xf numFmtId="0" fontId="58" fillId="0" borderId="3" xfId="110" applyFont="1" applyFill="1" applyBorder="1" applyAlignment="1">
      <alignment horizontal="left" wrapText="1"/>
    </xf>
    <xf numFmtId="43" fontId="60" fillId="0" borderId="0" xfId="4" applyNumberFormat="1" applyFont="1" applyFill="1" applyBorder="1" applyAlignment="1">
      <alignment horizontal="right"/>
    </xf>
    <xf numFmtId="0" fontId="60" fillId="0" borderId="3" xfId="110" applyFont="1" applyFill="1" applyBorder="1" applyAlignment="1">
      <alignment horizontal="left" wrapText="1"/>
    </xf>
    <xf numFmtId="0" fontId="53" fillId="0" borderId="0" xfId="110" applyAlignment="1"/>
    <xf numFmtId="1" fontId="38" fillId="0" borderId="0" xfId="110" applyNumberFormat="1" applyFont="1" applyAlignment="1">
      <alignment horizontal="center"/>
    </xf>
    <xf numFmtId="0" fontId="55" fillId="0" borderId="0" xfId="110" applyFont="1" applyAlignment="1">
      <alignment horizontal="center"/>
    </xf>
    <xf numFmtId="1" fontId="38" fillId="0" borderId="0" xfId="4" applyNumberFormat="1" applyFont="1" applyFill="1" applyBorder="1" applyAlignment="1">
      <alignment horizontal="center"/>
    </xf>
    <xf numFmtId="43" fontId="53" fillId="0" borderId="3" xfId="110" applyNumberFormat="1" applyBorder="1" applyAlignment="1"/>
    <xf numFmtId="0" fontId="60" fillId="0" borderId="3" xfId="110" applyFont="1" applyFill="1" applyBorder="1" applyAlignment="1">
      <alignment wrapText="1"/>
    </xf>
    <xf numFmtId="1" fontId="38" fillId="0" borderId="16" xfId="4" applyNumberFormat="1" applyFont="1" applyFill="1" applyBorder="1" applyAlignment="1">
      <alignment horizontal="center"/>
    </xf>
    <xf numFmtId="43" fontId="53" fillId="0" borderId="3" xfId="110" applyNumberFormat="1" applyFill="1" applyBorder="1" applyAlignment="1"/>
    <xf numFmtId="1" fontId="38" fillId="0" borderId="11" xfId="4" applyNumberFormat="1" applyFont="1" applyFill="1" applyBorder="1" applyAlignment="1">
      <alignment horizontal="center"/>
    </xf>
    <xf numFmtId="0" fontId="7" fillId="0" borderId="0" xfId="110" applyFont="1" applyFill="1" applyBorder="1" applyAlignment="1">
      <alignment horizontal="center" vertical="center" wrapText="1"/>
    </xf>
    <xf numFmtId="0" fontId="7" fillId="0" borderId="3" xfId="110" applyFont="1" applyFill="1" applyBorder="1" applyAlignment="1">
      <alignment horizontal="center" vertical="center" wrapText="1"/>
    </xf>
    <xf numFmtId="0" fontId="58" fillId="0" borderId="3" xfId="110" applyFont="1" applyFill="1" applyBorder="1" applyAlignment="1">
      <alignment horizontal="left" vertical="center" wrapText="1"/>
    </xf>
    <xf numFmtId="0" fontId="7" fillId="0" borderId="3" xfId="110" applyFont="1" applyBorder="1" applyAlignment="1">
      <alignment horizontal="center" vertical="center"/>
    </xf>
    <xf numFmtId="0" fontId="61" fillId="0" borderId="0" xfId="110" applyFont="1" applyFill="1" applyBorder="1" applyAlignment="1">
      <alignment horizontal="center" vertical="center" wrapText="1"/>
    </xf>
    <xf numFmtId="0" fontId="61" fillId="0" borderId="3" xfId="110" applyFont="1" applyFill="1" applyBorder="1" applyAlignment="1">
      <alignment horizontal="center" vertical="center" wrapText="1"/>
    </xf>
    <xf numFmtId="0" fontId="58" fillId="0" borderId="0" xfId="110" applyFont="1" applyFill="1" applyBorder="1" applyAlignment="1">
      <alignment horizontal="center" vertical="center" wrapText="1"/>
    </xf>
    <xf numFmtId="0" fontId="62" fillId="0" borderId="3" xfId="110" applyFont="1" applyFill="1" applyBorder="1" applyAlignment="1">
      <alignment horizontal="center" vertical="center" wrapText="1"/>
    </xf>
    <xf numFmtId="0" fontId="53" fillId="0" borderId="0" xfId="110" applyAlignment="1">
      <alignment vertical="center"/>
    </xf>
    <xf numFmtId="0" fontId="58" fillId="0" borderId="0" xfId="110" applyFont="1" applyFill="1" applyBorder="1" applyAlignment="1">
      <alignment horizontal="center" vertical="center"/>
    </xf>
    <xf numFmtId="0" fontId="63" fillId="0" borderId="0" xfId="110" applyFont="1" applyBorder="1" applyAlignment="1">
      <alignment horizontal="center"/>
    </xf>
    <xf numFmtId="43" fontId="53" fillId="0" borderId="0" xfId="110" applyNumberFormat="1"/>
    <xf numFmtId="2" fontId="4" fillId="0" borderId="3" xfId="0" applyNumberFormat="1" applyFont="1" applyFill="1" applyBorder="1" applyAlignment="1">
      <alignment horizontal="right"/>
    </xf>
    <xf numFmtId="10" fontId="0" fillId="0" borderId="0" xfId="0" applyNumberFormat="1"/>
    <xf numFmtId="2" fontId="0" fillId="0" borderId="0" xfId="0" applyNumberFormat="1"/>
    <xf numFmtId="2" fontId="5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0" fontId="7" fillId="0" borderId="3" xfId="0" applyFont="1" applyFill="1" applyBorder="1"/>
    <xf numFmtId="0" fontId="6" fillId="0" borderId="3" xfId="0" applyFont="1" applyFill="1" applyBorder="1"/>
    <xf numFmtId="0" fontId="0" fillId="10" borderId="3" xfId="0" applyFill="1" applyBorder="1" applyAlignment="1">
      <alignment horizontal="center" vertical="center"/>
    </xf>
    <xf numFmtId="0" fontId="0" fillId="10" borderId="0" xfId="0" applyFill="1"/>
    <xf numFmtId="166" fontId="4" fillId="0" borderId="3" xfId="0" applyNumberFormat="1" applyFont="1" applyFill="1" applyBorder="1" applyAlignment="1">
      <alignment horizontal="right" vertical="center"/>
    </xf>
    <xf numFmtId="2" fontId="7" fillId="0" borderId="3" xfId="0" applyNumberFormat="1" applyFont="1" applyFill="1" applyBorder="1" applyAlignment="1">
      <alignment horizontal="right"/>
    </xf>
    <xf numFmtId="0" fontId="26" fillId="10" borderId="0" xfId="110" applyFont="1" applyFill="1"/>
    <xf numFmtId="4" fontId="53" fillId="10" borderId="0" xfId="110" applyNumberFormat="1" applyFill="1"/>
    <xf numFmtId="0" fontId="55" fillId="0" borderId="0" xfId="111" applyFont="1" applyAlignment="1">
      <alignment horizontal="center" vertical="center"/>
    </xf>
    <xf numFmtId="0" fontId="63" fillId="0" borderId="0" xfId="111" applyFont="1" applyBorder="1" applyAlignment="1">
      <alignment horizontal="center"/>
    </xf>
    <xf numFmtId="1" fontId="38" fillId="0" borderId="0" xfId="111" applyNumberFormat="1" applyFont="1" applyAlignment="1">
      <alignment horizontal="center" vertical="center"/>
    </xf>
    <xf numFmtId="0" fontId="70" fillId="0" borderId="0" xfId="111"/>
    <xf numFmtId="0" fontId="58" fillId="0" borderId="0" xfId="111" applyFont="1" applyFill="1" applyBorder="1" applyAlignment="1">
      <alignment horizontal="center" vertical="center"/>
    </xf>
    <xf numFmtId="0" fontId="70" fillId="0" borderId="0" xfId="111" applyAlignment="1">
      <alignment vertical="center"/>
    </xf>
    <xf numFmtId="0" fontId="62" fillId="0" borderId="3" xfId="111" applyFont="1" applyFill="1" applyBorder="1" applyAlignment="1">
      <alignment horizontal="center" vertical="center" wrapText="1"/>
    </xf>
    <xf numFmtId="0" fontId="58" fillId="0" borderId="0" xfId="111" applyFont="1" applyFill="1" applyBorder="1" applyAlignment="1">
      <alignment horizontal="center" vertical="center" wrapText="1"/>
    </xf>
    <xf numFmtId="168" fontId="70" fillId="0" borderId="0" xfId="111" applyNumberFormat="1"/>
    <xf numFmtId="0" fontId="7" fillId="0" borderId="3" xfId="111" applyFont="1" applyBorder="1" applyAlignment="1">
      <alignment horizontal="center" vertical="center"/>
    </xf>
    <xf numFmtId="0" fontId="7" fillId="0" borderId="3" xfId="111" applyFont="1" applyFill="1" applyBorder="1" applyAlignment="1">
      <alignment horizontal="center" vertical="center" wrapText="1"/>
    </xf>
    <xf numFmtId="0" fontId="61" fillId="0" borderId="3" xfId="111" applyFont="1" applyFill="1" applyBorder="1" applyAlignment="1">
      <alignment horizontal="center" vertical="center" wrapText="1"/>
    </xf>
    <xf numFmtId="0" fontId="61" fillId="0" borderId="0" xfId="111" applyFont="1" applyFill="1" applyBorder="1" applyAlignment="1">
      <alignment horizontal="center" vertical="center" wrapText="1"/>
    </xf>
    <xf numFmtId="0" fontId="58" fillId="0" borderId="3" xfId="111" applyFont="1" applyFill="1" applyBorder="1" applyAlignment="1">
      <alignment horizontal="left" vertical="center" wrapText="1"/>
    </xf>
    <xf numFmtId="0" fontId="7" fillId="0" borderId="0" xfId="111" applyFont="1" applyFill="1" applyBorder="1" applyAlignment="1">
      <alignment horizontal="center" vertical="center" wrapText="1"/>
    </xf>
    <xf numFmtId="0" fontId="55" fillId="0" borderId="0" xfId="111" applyFont="1" applyAlignment="1">
      <alignment horizontal="center"/>
    </xf>
    <xf numFmtId="0" fontId="7" fillId="0" borderId="3" xfId="111" applyFont="1" applyBorder="1" applyAlignment="1">
      <alignment horizontal="center"/>
    </xf>
    <xf numFmtId="0" fontId="60" fillId="0" borderId="3" xfId="111" applyFont="1" applyFill="1" applyBorder="1" applyAlignment="1">
      <alignment wrapText="1"/>
    </xf>
    <xf numFmtId="168" fontId="70" fillId="0" borderId="0" xfId="111" applyNumberFormat="1" applyAlignment="1"/>
    <xf numFmtId="0" fontId="70" fillId="0" borderId="0" xfId="111" applyAlignment="1"/>
    <xf numFmtId="43" fontId="70" fillId="0" borderId="3" xfId="111" applyNumberFormat="1" applyBorder="1" applyAlignment="1"/>
    <xf numFmtId="43" fontId="70" fillId="0" borderId="3" xfId="111" applyNumberFormat="1" applyFill="1" applyBorder="1" applyAlignment="1"/>
    <xf numFmtId="0" fontId="55" fillId="0" borderId="0" xfId="111" applyFont="1" applyFill="1" applyAlignment="1">
      <alignment horizontal="center"/>
    </xf>
    <xf numFmtId="0" fontId="7" fillId="0" borderId="3" xfId="111" applyFont="1" applyFill="1" applyBorder="1" applyAlignment="1">
      <alignment horizontal="center"/>
    </xf>
    <xf numFmtId="0" fontId="70" fillId="0" borderId="0" xfId="111" applyFill="1" applyAlignment="1"/>
    <xf numFmtId="0" fontId="58" fillId="0" borderId="3" xfId="111" applyFont="1" applyFill="1" applyBorder="1" applyAlignment="1">
      <alignment horizontal="center" wrapText="1"/>
    </xf>
    <xf numFmtId="1" fontId="38" fillId="0" borderId="0" xfId="111" applyNumberFormat="1" applyFont="1" applyAlignment="1">
      <alignment horizontal="center"/>
    </xf>
    <xf numFmtId="0" fontId="58" fillId="0" borderId="3" xfId="111" applyFont="1" applyFill="1" applyBorder="1" applyAlignment="1">
      <alignment horizontal="left" wrapText="1"/>
    </xf>
    <xf numFmtId="0" fontId="60" fillId="0" borderId="3" xfId="111" applyFont="1" applyFill="1" applyBorder="1" applyAlignment="1">
      <alignment horizontal="left" wrapText="1"/>
    </xf>
    <xf numFmtId="1" fontId="38" fillId="0" borderId="0" xfId="111" applyNumberFormat="1" applyFont="1" applyFill="1" applyAlignment="1">
      <alignment horizontal="center"/>
    </xf>
    <xf numFmtId="0" fontId="59" fillId="0" borderId="0" xfId="111" applyFont="1" applyFill="1" applyAlignment="1"/>
    <xf numFmtId="0" fontId="57" fillId="0" borderId="0" xfId="111" applyFont="1" applyAlignment="1">
      <alignment horizontal="center"/>
    </xf>
    <xf numFmtId="0" fontId="58" fillId="0" borderId="3" xfId="111" applyFont="1" applyFill="1" applyBorder="1" applyAlignment="1">
      <alignment wrapText="1"/>
    </xf>
    <xf numFmtId="1" fontId="7" fillId="0" borderId="0" xfId="111" applyNumberFormat="1" applyFont="1" applyAlignment="1">
      <alignment horizontal="center"/>
    </xf>
    <xf numFmtId="0" fontId="7" fillId="0" borderId="0" xfId="111" applyFont="1" applyAlignment="1"/>
    <xf numFmtId="0" fontId="57" fillId="0" borderId="0" xfId="111" applyFont="1" applyAlignment="1">
      <alignment horizontal="center" vertical="center"/>
    </xf>
    <xf numFmtId="0" fontId="7" fillId="0" borderId="0" xfId="111" applyFont="1"/>
    <xf numFmtId="1" fontId="7" fillId="0" borderId="0" xfId="111" applyNumberFormat="1" applyFont="1" applyAlignment="1">
      <alignment horizontal="center" vertical="center"/>
    </xf>
    <xf numFmtId="0" fontId="56" fillId="0" borderId="0" xfId="111" applyFont="1"/>
    <xf numFmtId="0" fontId="38" fillId="0" borderId="0" xfId="111" applyFont="1" applyAlignment="1">
      <alignment horizontal="center" vertical="center"/>
    </xf>
    <xf numFmtId="0" fontId="54" fillId="0" borderId="0" xfId="111" applyFont="1"/>
    <xf numFmtId="168" fontId="54" fillId="0" borderId="0" xfId="111" applyNumberFormat="1" applyFont="1"/>
    <xf numFmtId="186" fontId="70" fillId="0" borderId="0" xfId="111" applyNumberFormat="1"/>
    <xf numFmtId="43" fontId="70" fillId="0" borderId="0" xfId="111" applyNumberFormat="1"/>
    <xf numFmtId="4" fontId="70" fillId="0" borderId="0" xfId="111" applyNumberFormat="1"/>
    <xf numFmtId="2" fontId="70" fillId="0" borderId="0" xfId="111" applyNumberFormat="1"/>
    <xf numFmtId="0" fontId="26" fillId="0" borderId="0" xfId="111" applyFont="1"/>
    <xf numFmtId="1" fontId="54" fillId="0" borderId="0" xfId="111" applyNumberFormat="1" applyFont="1"/>
    <xf numFmtId="43" fontId="54" fillId="0" borderId="0" xfId="111" applyNumberFormat="1" applyFont="1"/>
    <xf numFmtId="165" fontId="70" fillId="0" borderId="0" xfId="111" applyNumberFormat="1"/>
    <xf numFmtId="3" fontId="70" fillId="0" borderId="0" xfId="111" applyNumberFormat="1"/>
    <xf numFmtId="2" fontId="54" fillId="0" borderId="0" xfId="111" applyNumberFormat="1" applyFont="1"/>
    <xf numFmtId="3" fontId="70" fillId="0" borderId="0" xfId="111" applyNumberFormat="1" applyAlignment="1">
      <alignment horizontal="right" vertical="center"/>
    </xf>
    <xf numFmtId="0" fontId="54" fillId="10" borderId="0" xfId="111" applyFont="1" applyFill="1"/>
    <xf numFmtId="4" fontId="54" fillId="10" borderId="0" xfId="111" applyNumberFormat="1" applyFont="1" applyFill="1"/>
    <xf numFmtId="0" fontId="3" fillId="0" borderId="2" xfId="0" applyFont="1" applyFill="1" applyBorder="1" applyAlignment="1"/>
    <xf numFmtId="0" fontId="4" fillId="0" borderId="0" xfId="0" applyFont="1" applyFill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6" fontId="5" fillId="0" borderId="3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/>
    <xf numFmtId="43" fontId="4" fillId="0" borderId="3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>
      <alignment horizontal="right" vertical="center"/>
    </xf>
    <xf numFmtId="0" fontId="9" fillId="0" borderId="0" xfId="0" applyFont="1" applyFill="1"/>
    <xf numFmtId="166" fontId="6" fillId="0" borderId="3" xfId="0" applyNumberFormat="1" applyFont="1" applyFill="1" applyBorder="1" applyAlignment="1">
      <alignment horizontal="right"/>
    </xf>
    <xf numFmtId="2" fontId="9" fillId="0" borderId="3" xfId="0" applyNumberFormat="1" applyFont="1" applyFill="1" applyBorder="1"/>
    <xf numFmtId="43" fontId="9" fillId="0" borderId="3" xfId="0" applyNumberFormat="1" applyFont="1" applyFill="1" applyBorder="1"/>
    <xf numFmtId="166" fontId="7" fillId="0" borderId="3" xfId="0" applyNumberFormat="1" applyFont="1" applyFill="1" applyBorder="1" applyAlignment="1">
      <alignment horizontal="right"/>
    </xf>
    <xf numFmtId="2" fontId="8" fillId="0" borderId="3" xfId="0" applyNumberFormat="1" applyFont="1" applyFill="1" applyBorder="1"/>
    <xf numFmtId="43" fontId="8" fillId="0" borderId="3" xfId="0" applyNumberFormat="1" applyFont="1" applyFill="1" applyBorder="1"/>
    <xf numFmtId="2" fontId="9" fillId="0" borderId="3" xfId="0" applyNumberFormat="1" applyFont="1" applyFill="1" applyBorder="1" applyAlignment="1">
      <alignment horizontal="right"/>
    </xf>
    <xf numFmtId="2" fontId="8" fillId="0" borderId="0" xfId="0" applyNumberFormat="1" applyFont="1" applyFill="1" applyBorder="1"/>
    <xf numFmtId="43" fontId="8" fillId="0" borderId="0" xfId="0" applyNumberFormat="1" applyFont="1" applyFill="1" applyBorder="1"/>
    <xf numFmtId="166" fontId="9" fillId="0" borderId="0" xfId="0" applyNumberFormat="1" applyFont="1" applyFill="1"/>
    <xf numFmtId="2" fontId="4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/>
    <xf numFmtId="2" fontId="6" fillId="0" borderId="3" xfId="0" applyNumberFormat="1" applyFont="1" applyFill="1" applyBorder="1"/>
    <xf numFmtId="0" fontId="4" fillId="0" borderId="3" xfId="0" applyFont="1" applyFill="1" applyBorder="1" applyAlignment="1">
      <alignment horizontal="left" indent="1"/>
    </xf>
    <xf numFmtId="2" fontId="4" fillId="0" borderId="0" xfId="0" applyNumberFormat="1" applyFont="1" applyFill="1"/>
    <xf numFmtId="0" fontId="4" fillId="0" borderId="3" xfId="0" applyFont="1" applyFill="1" applyBorder="1" applyAlignment="1"/>
    <xf numFmtId="2" fontId="5" fillId="0" borderId="4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wrapText="1"/>
    </xf>
    <xf numFmtId="10" fontId="4" fillId="0" borderId="3" xfId="2" applyNumberFormat="1" applyFont="1" applyFill="1" applyBorder="1" applyAlignment="1">
      <alignment horizontal="center"/>
    </xf>
    <xf numFmtId="43" fontId="0" fillId="0" borderId="0" xfId="0" applyNumberFormat="1" applyFill="1" applyBorder="1"/>
    <xf numFmtId="0" fontId="0" fillId="0" borderId="0" xfId="0" applyFill="1" applyBorder="1"/>
    <xf numFmtId="10" fontId="4" fillId="0" borderId="0" xfId="2" applyNumberFormat="1" applyFont="1" applyFill="1" applyBorder="1" applyAlignment="1">
      <alignment horizontal="center"/>
    </xf>
    <xf numFmtId="187" fontId="4" fillId="0" borderId="0" xfId="2" applyNumberFormat="1" applyFont="1" applyFill="1"/>
    <xf numFmtId="9" fontId="4" fillId="0" borderId="3" xfId="0" applyNumberFormat="1" applyFont="1" applyFill="1" applyBorder="1" applyAlignment="1">
      <alignment vertical="center"/>
    </xf>
    <xf numFmtId="10" fontId="4" fillId="0" borderId="3" xfId="0" applyNumberFormat="1" applyFont="1" applyFill="1" applyBorder="1" applyAlignment="1">
      <alignment vertical="center"/>
    </xf>
    <xf numFmtId="10" fontId="5" fillId="0" borderId="3" xfId="2" applyNumberFormat="1" applyFont="1" applyFill="1" applyBorder="1" applyAlignment="1">
      <alignment horizontal="right"/>
    </xf>
    <xf numFmtId="10" fontId="5" fillId="0" borderId="3" xfId="2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left"/>
    </xf>
    <xf numFmtId="2" fontId="0" fillId="0" borderId="9" xfId="0" applyNumberFormat="1" applyFill="1" applyBorder="1" applyAlignment="1">
      <alignment horizontal="right"/>
    </xf>
    <xf numFmtId="2" fontId="0" fillId="0" borderId="10" xfId="0" applyNumberFormat="1" applyFill="1" applyBorder="1" applyAlignment="1">
      <alignment horizontal="right"/>
    </xf>
    <xf numFmtId="0" fontId="66" fillId="0" borderId="0" xfId="0" applyFont="1" applyFill="1"/>
    <xf numFmtId="0" fontId="67" fillId="0" borderId="0" xfId="0" applyFont="1" applyFill="1"/>
    <xf numFmtId="2" fontId="67" fillId="0" borderId="0" xfId="0" applyNumberFormat="1" applyFont="1" applyFill="1"/>
    <xf numFmtId="0" fontId="0" fillId="0" borderId="0" xfId="0" applyFill="1"/>
    <xf numFmtId="2" fontId="4" fillId="0" borderId="3" xfId="0" applyNumberFormat="1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right" vertical="center" wrapText="1"/>
    </xf>
    <xf numFmtId="0" fontId="20" fillId="0" borderId="19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horizontal="right" vertical="center" wrapText="1"/>
    </xf>
    <xf numFmtId="0" fontId="17" fillId="0" borderId="19" xfId="0" applyFont="1" applyFill="1" applyBorder="1" applyAlignment="1">
      <alignment horizontal="justify" vertical="center" wrapText="1"/>
    </xf>
    <xf numFmtId="0" fontId="5" fillId="0" borderId="0" xfId="0" applyFont="1" applyFill="1"/>
    <xf numFmtId="0" fontId="68" fillId="0" borderId="19" xfId="0" applyFont="1" applyFill="1" applyBorder="1" applyAlignment="1">
      <alignment vertical="center" wrapText="1"/>
    </xf>
    <xf numFmtId="0" fontId="69" fillId="0" borderId="19" xfId="0" applyFont="1" applyFill="1" applyBorder="1" applyAlignment="1">
      <alignment vertical="center" wrapText="1"/>
    </xf>
    <xf numFmtId="43" fontId="20" fillId="0" borderId="20" xfId="0" applyNumberFormat="1" applyFont="1" applyFill="1" applyBorder="1" applyAlignment="1">
      <alignment horizontal="right" vertical="center" wrapText="1"/>
    </xf>
    <xf numFmtId="2" fontId="20" fillId="0" borderId="20" xfId="0" applyNumberFormat="1" applyFont="1" applyFill="1" applyBorder="1" applyAlignment="1">
      <alignment horizontal="right" vertical="center" wrapText="1"/>
    </xf>
    <xf numFmtId="2" fontId="5" fillId="16" borderId="3" xfId="0" applyNumberFormat="1" applyFont="1" applyFill="1" applyBorder="1" applyAlignment="1">
      <alignment horizontal="center"/>
    </xf>
    <xf numFmtId="2" fontId="6" fillId="16" borderId="3" xfId="0" applyNumberFormat="1" applyFont="1" applyFill="1" applyBorder="1" applyAlignment="1">
      <alignment horizontal="center"/>
    </xf>
    <xf numFmtId="2" fontId="4" fillId="16" borderId="3" xfId="0" applyNumberFormat="1" applyFont="1" applyFill="1" applyBorder="1" applyAlignment="1">
      <alignment horizontal="center"/>
    </xf>
    <xf numFmtId="2" fontId="71" fillId="0" borderId="3" xfId="0" applyNumberFormat="1" applyFont="1" applyFill="1" applyBorder="1" applyAlignment="1">
      <alignment horizontal="center"/>
    </xf>
    <xf numFmtId="2" fontId="4" fillId="15" borderId="3" xfId="0" applyNumberFormat="1" applyFont="1" applyFill="1" applyBorder="1" applyAlignment="1">
      <alignment horizontal="center"/>
    </xf>
    <xf numFmtId="2" fontId="5" fillId="15" borderId="3" xfId="0" applyNumberFormat="1" applyFont="1" applyFill="1" applyBorder="1" applyAlignment="1">
      <alignment horizontal="center"/>
    </xf>
    <xf numFmtId="1" fontId="0" fillId="0" borderId="3" xfId="0" applyNumberFormat="1" applyBorder="1"/>
    <xf numFmtId="1" fontId="2" fillId="0" borderId="3" xfId="0" applyNumberFormat="1" applyFont="1" applyBorder="1"/>
    <xf numFmtId="2" fontId="4" fillId="15" borderId="3" xfId="0" applyNumberFormat="1" applyFont="1" applyFill="1" applyBorder="1" applyAlignment="1">
      <alignment horizontal="right"/>
    </xf>
    <xf numFmtId="10" fontId="4" fillId="15" borderId="3" xfId="2" applyNumberFormat="1" applyFont="1" applyFill="1" applyBorder="1" applyAlignment="1">
      <alignment horizontal="center"/>
    </xf>
    <xf numFmtId="2" fontId="4" fillId="15" borderId="3" xfId="0" applyNumberFormat="1" applyFont="1" applyFill="1" applyBorder="1" applyAlignment="1">
      <alignment horizontal="center" vertical="center"/>
    </xf>
    <xf numFmtId="2" fontId="6" fillId="15" borderId="3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2" fontId="72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15" xfId="111" applyFont="1" applyBorder="1" applyAlignment="1">
      <alignment horizontal="center" vertical="center"/>
    </xf>
    <xf numFmtId="0" fontId="63" fillId="0" borderId="2" xfId="111" applyFont="1" applyBorder="1" applyAlignment="1"/>
    <xf numFmtId="0" fontId="62" fillId="0" borderId="3" xfId="111" applyFont="1" applyBorder="1" applyAlignment="1">
      <alignment horizontal="center" vertical="center"/>
    </xf>
    <xf numFmtId="0" fontId="62" fillId="0" borderId="3" xfId="111" applyFont="1" applyFill="1" applyBorder="1" applyAlignment="1">
      <alignment horizontal="center" vertical="center" wrapText="1"/>
    </xf>
    <xf numFmtId="0" fontId="62" fillId="0" borderId="4" xfId="111" applyFont="1" applyFill="1" applyBorder="1" applyAlignment="1">
      <alignment horizontal="center" vertical="center"/>
    </xf>
    <xf numFmtId="0" fontId="62" fillId="0" borderId="5" xfId="111" applyFont="1" applyFill="1" applyBorder="1" applyAlignment="1">
      <alignment horizontal="center" vertical="center"/>
    </xf>
    <xf numFmtId="0" fontId="62" fillId="0" borderId="6" xfId="111" applyFont="1" applyFill="1" applyBorder="1" applyAlignment="1">
      <alignment horizontal="center" vertical="center"/>
    </xf>
    <xf numFmtId="0" fontId="6" fillId="0" borderId="15" xfId="110" applyFont="1" applyBorder="1" applyAlignment="1">
      <alignment horizontal="center" vertical="center"/>
    </xf>
    <xf numFmtId="0" fontId="63" fillId="0" borderId="2" xfId="110" applyFont="1" applyBorder="1" applyAlignment="1"/>
    <xf numFmtId="0" fontId="62" fillId="0" borderId="3" xfId="110" applyFont="1" applyBorder="1" applyAlignment="1">
      <alignment horizontal="center" vertical="center"/>
    </xf>
    <xf numFmtId="0" fontId="62" fillId="0" borderId="3" xfId="110" applyFont="1" applyFill="1" applyBorder="1" applyAlignment="1">
      <alignment horizontal="center" vertical="center" wrapText="1"/>
    </xf>
    <xf numFmtId="0" fontId="62" fillId="0" borderId="4" xfId="110" applyFont="1" applyFill="1" applyBorder="1" applyAlignment="1">
      <alignment horizontal="center" vertical="center"/>
    </xf>
    <xf numFmtId="0" fontId="62" fillId="0" borderId="5" xfId="110" applyFont="1" applyFill="1" applyBorder="1" applyAlignment="1">
      <alignment horizontal="center" vertical="center"/>
    </xf>
    <xf numFmtId="0" fontId="62" fillId="0" borderId="6" xfId="11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168" fontId="17" fillId="0" borderId="7" xfId="1" applyNumberFormat="1" applyFont="1" applyFill="1" applyBorder="1" applyAlignment="1">
      <alignment horizontal="right" vertical="center"/>
    </xf>
    <xf numFmtId="168" fontId="17" fillId="0" borderId="8" xfId="1" applyNumberFormat="1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8" xfId="0" applyFill="1" applyBorder="1"/>
    <xf numFmtId="0" fontId="20" fillId="0" borderId="7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43" fontId="20" fillId="0" borderId="3" xfId="0" applyNumberFormat="1" applyFont="1" applyFill="1" applyBorder="1" applyAlignment="1">
      <alignment horizontal="center" vertical="center"/>
    </xf>
    <xf numFmtId="168" fontId="20" fillId="0" borderId="3" xfId="0" applyNumberFormat="1" applyFont="1" applyFill="1" applyBorder="1" applyAlignment="1">
      <alignment horizontal="center" vertical="center"/>
    </xf>
    <xf numFmtId="43" fontId="20" fillId="0" borderId="3" xfId="0" applyNumberFormat="1" applyFont="1" applyFill="1" applyBorder="1" applyAlignment="1">
      <alignment horizontal="center" vertical="center" wrapText="1"/>
    </xf>
    <xf numFmtId="168" fontId="17" fillId="0" borderId="7" xfId="1" applyNumberFormat="1" applyFont="1" applyFill="1" applyBorder="1" applyAlignment="1">
      <alignment horizontal="center" vertical="center"/>
    </xf>
    <xf numFmtId="168" fontId="17" fillId="0" borderId="8" xfId="1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168" fontId="17" fillId="0" borderId="0" xfId="1" applyNumberFormat="1" applyFont="1" applyFill="1" applyAlignment="1">
      <alignment horizontal="center" vertical="center"/>
    </xf>
    <xf numFmtId="0" fontId="20" fillId="0" borderId="3" xfId="0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</cellXfs>
  <cellStyles count="112">
    <cellStyle name="60% - Accent1 2" xfId="14"/>
    <cellStyle name="60% - Accent1 3" xfId="15"/>
    <cellStyle name="60% - Accent2 2" xfId="16"/>
    <cellStyle name="60% - Accent2 3" xfId="17"/>
    <cellStyle name="60% - Accent3 2" xfId="18"/>
    <cellStyle name="60% - Accent3 3" xfId="19"/>
    <cellStyle name="60% - Accent4 2" xfId="20"/>
    <cellStyle name="60% - Accent4 3" xfId="21"/>
    <cellStyle name="60% - Accent5 2" xfId="22"/>
    <cellStyle name="60% - Accent5 3" xfId="23"/>
    <cellStyle name="60% - Accent6 2" xfId="24"/>
    <cellStyle name="60% - Accent6 3" xfId="25"/>
    <cellStyle name="75" xfId="26"/>
    <cellStyle name="ÅëÈ­ [0]_±âÅ¸" xfId="27"/>
    <cellStyle name="ÅëÈ­_±âÅ¸" xfId="28"/>
    <cellStyle name="args.style" xfId="29"/>
    <cellStyle name="ÄÞ¸¶ [0]_±âÅ¸" xfId="30"/>
    <cellStyle name="ÄÞ¸¶_±âÅ¸" xfId="31"/>
    <cellStyle name="Ç¥ÁØ_¿¬°£´©°è¿¹»ó" xfId="32"/>
    <cellStyle name="Calc Currency (0)" xfId="33"/>
    <cellStyle name="Comma" xfId="1" builtinId="3"/>
    <cellStyle name="Comma  - Style1" xfId="34"/>
    <cellStyle name="Comma  - Style2" xfId="35"/>
    <cellStyle name="Comma  - Style3" xfId="36"/>
    <cellStyle name="Comma  - Style4" xfId="37"/>
    <cellStyle name="Comma  - Style5" xfId="38"/>
    <cellStyle name="Comma  - Style6" xfId="39"/>
    <cellStyle name="Comma  - Style7" xfId="40"/>
    <cellStyle name="Comma  - Style8" xfId="41"/>
    <cellStyle name="Comma [0] 2" xfId="42"/>
    <cellStyle name="Comma 10" xfId="43"/>
    <cellStyle name="Comma 2" xfId="3"/>
    <cellStyle name="Comma 2 2" xfId="4"/>
    <cellStyle name="Comma 2 2 2" xfId="44"/>
    <cellStyle name="Comma 2 2 2 2" xfId="45"/>
    <cellStyle name="Comma 2 2 3" xfId="46"/>
    <cellStyle name="Comma 2 3" xfId="47"/>
    <cellStyle name="Comma 2 3 2" xfId="48"/>
    <cellStyle name="Comma 2 4" xfId="5"/>
    <cellStyle name="Comma 2 4 2" xfId="49"/>
    <cellStyle name="Comma 2 4 2 2" xfId="50"/>
    <cellStyle name="Comma 2 4 3" xfId="51"/>
    <cellStyle name="Comma 2 5" xfId="52"/>
    <cellStyle name="Comma 3" xfId="6"/>
    <cellStyle name="Comma 3 2" xfId="53"/>
    <cellStyle name="Comma 4" xfId="54"/>
    <cellStyle name="Comma 4 2" xfId="55"/>
    <cellStyle name="Comma 5" xfId="56"/>
    <cellStyle name="Comma 5 2" xfId="57"/>
    <cellStyle name="Comma 6" xfId="58"/>
    <cellStyle name="Comma 6 2" xfId="59"/>
    <cellStyle name="Comma 7" xfId="60"/>
    <cellStyle name="Comma 8" xfId="61"/>
    <cellStyle name="Comma 9" xfId="62"/>
    <cellStyle name="Copied" xfId="63"/>
    <cellStyle name="COST1" xfId="64"/>
    <cellStyle name="date" xfId="65"/>
    <cellStyle name="Entered" xfId="66"/>
    <cellStyle name="Formula" xfId="67"/>
    <cellStyle name="Grey" xfId="68"/>
    <cellStyle name="Header1" xfId="69"/>
    <cellStyle name="Header2" xfId="70"/>
    <cellStyle name="Hyperlink 2" xfId="71"/>
    <cellStyle name="Hyperlink 2 2" xfId="72"/>
    <cellStyle name="Hyperlink 2 3" xfId="73"/>
    <cellStyle name="Hypertextový odkaz" xfId="74"/>
    <cellStyle name="Input [yellow]" xfId="75"/>
    <cellStyle name="Input Cells" xfId="76"/>
    <cellStyle name="Linked Cells" xfId="77"/>
    <cellStyle name="Milliers [0]_!!!GO" xfId="78"/>
    <cellStyle name="Milliers_!!!GO" xfId="79"/>
    <cellStyle name="Monétaire [0]_!!!GO" xfId="80"/>
    <cellStyle name="Monétaire_!!!GO" xfId="81"/>
    <cellStyle name="Neutral 2" xfId="82"/>
    <cellStyle name="Neutral 3" xfId="83"/>
    <cellStyle name="no dec" xfId="84"/>
    <cellStyle name="Normal" xfId="0" builtinId="0"/>
    <cellStyle name="Normal - Style1" xfId="85"/>
    <cellStyle name="Normal 10" xfId="86"/>
    <cellStyle name="Normal 11" xfId="111"/>
    <cellStyle name="Normal 2" xfId="7"/>
    <cellStyle name="Normal 2 2" xfId="8"/>
    <cellStyle name="Normal 3" xfId="9"/>
    <cellStyle name="Normal 3 2" xfId="10"/>
    <cellStyle name="Normal 3_STL(1)as on 31-12-13" xfId="11"/>
    <cellStyle name="Normal 4" xfId="87"/>
    <cellStyle name="Normal 5" xfId="12"/>
    <cellStyle name="Normal 5 2" xfId="13"/>
    <cellStyle name="Normal 6" xfId="88"/>
    <cellStyle name="Normal 7" xfId="89"/>
    <cellStyle name="Normal 8" xfId="90"/>
    <cellStyle name="Normal 9" xfId="110"/>
    <cellStyle name="Note 2" xfId="91"/>
    <cellStyle name="Œ…‹æØ‚è [0.00]_Region Orders (2)" xfId="92"/>
    <cellStyle name="Œ…‹æØ‚è_Region Orders (2)" xfId="93"/>
    <cellStyle name="per.style" xfId="94"/>
    <cellStyle name="Percent" xfId="2" builtinId="5"/>
    <cellStyle name="Percent [2]" xfId="95"/>
    <cellStyle name="Percent 2" xfId="96"/>
    <cellStyle name="Percent 2 2" xfId="97"/>
    <cellStyle name="Percent 2 3" xfId="98"/>
    <cellStyle name="Percent 3" xfId="99"/>
    <cellStyle name="Popis" xfId="100"/>
    <cellStyle name="pricing" xfId="101"/>
    <cellStyle name="PSChar" xfId="102"/>
    <cellStyle name="RevList" xfId="103"/>
    <cellStyle name="Sledovaný hypertextový odkaz" xfId="104"/>
    <cellStyle name="Standard_BS14" xfId="105"/>
    <cellStyle name="Style 1" xfId="106"/>
    <cellStyle name="Subtotal" xfId="107"/>
    <cellStyle name="Title 2" xfId="108"/>
    <cellStyle name="Title 3" xfId="109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corporateoffice\A%20&amp;%20B%20Section\Workings%20Annual%20Accounts%202010-11\Desktop\Annual%20Accounts%202008-09\CA%20&amp;%20CL%202008-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TRIVENI\ANNUAL%20ACCOUNTS\Annual%20Accounts%202011-12\Accounts%202011-12%20final\APCPDCL-%20Revised%20Scheduled%20V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esktop\DBMYT%20ARR\FINANCIALS%202023-24\Financials%202023-24%20by%20AAO%20A&amp;B\FSV%202023-24_10.07.2024%20Fin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ownloads\RAC%20made%20model\APR%202022-23%20WORKING\FSV%202022-23_12.07.2023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Balance Sheet"/>
      <sheetName val="Schedule to BS"/>
      <sheetName val="Profit And Loss"/>
      <sheetName val="Schedules to P &amp; L"/>
      <sheetName val="TB"/>
      <sheetName val="Share Capital"/>
      <sheetName val="Reserves &amp; Surplus"/>
      <sheetName val="Long-Term Borrowings"/>
      <sheetName val="Other Long Term Liabilities"/>
      <sheetName val="Long Term Provisions"/>
      <sheetName val="Short-Term Borrowings "/>
      <sheetName val="Other Current Liabilities"/>
      <sheetName val="Short Term Provisions"/>
      <sheetName val="Fixed Assets"/>
      <sheetName val="Non Current Investment"/>
      <sheetName val="NCA-Lng trm loans &amp; adv "/>
      <sheetName val="NCA-Other nca"/>
      <sheetName val="Current Investments"/>
      <sheetName val="Inventories"/>
      <sheetName val="Trade Receivables"/>
      <sheetName val="Cash and cash equivalents"/>
      <sheetName val="Short term loans and adv"/>
      <sheetName val="Other Curr Assets"/>
      <sheetName val="Cont liabilities and commitment"/>
      <sheetName val="Revenue From operation"/>
      <sheetName val="Other Income"/>
      <sheetName val="Finance Cost"/>
      <sheetName val="Deferred Tax"/>
      <sheetName val="MAT"/>
      <sheetName val="IT Dep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K2" t="str">
            <v>Yes</v>
          </cell>
        </row>
        <row r="3">
          <cell r="K3" t="str">
            <v>No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to Accounts"/>
      <sheetName val="Line Items"/>
      <sheetName val="COA Templet"/>
      <sheetName val="Report"/>
      <sheetName val="Data Validation"/>
      <sheetName val="BS"/>
      <sheetName val="P &amp; L"/>
      <sheetName val="Cash Flow"/>
      <sheetName val="Main Notes"/>
      <sheetName val="Ratios Workings"/>
      <sheetName val="Note 11 Fixed Assests "/>
      <sheetName val="11 a. Ageing of CWIP"/>
      <sheetName val="Note 12 Non Current Investments"/>
      <sheetName val="17 Ageing of Trade Receivables"/>
      <sheetName val="31. Ratios"/>
      <sheetName val="29. KMP"/>
      <sheetName val="TP SUMMARY"/>
      <sheetName val="8 Trade Payable Ageing"/>
      <sheetName val="DTA DISCLOSURE SHEET"/>
      <sheetName val="DTA DTL Calculation"/>
      <sheetName val="JE"/>
      <sheetName val="MSME VENDORS"/>
      <sheetName val="UNABSORBED DEP"/>
      <sheetName val="40"/>
      <sheetName val="41.xii"/>
    </sheetNames>
    <sheetDataSet>
      <sheetData sheetId="0"/>
      <sheetData sheetId="1"/>
      <sheetData sheetId="2"/>
      <sheetData sheetId="3">
        <row r="5">
          <cell r="E5">
            <v>1</v>
          </cell>
          <cell r="F5" t="str">
            <v>728479609 Equity shares of Rs 10/ each fully paid up</v>
          </cell>
          <cell r="G5">
            <v>-12017.93</v>
          </cell>
          <cell r="I5">
            <v>-12017.93</v>
          </cell>
        </row>
        <row r="6">
          <cell r="E6">
            <v>2</v>
          </cell>
          <cell r="F6" t="str">
            <v>Consumers Contribution</v>
          </cell>
          <cell r="G6">
            <v>-8719.7999999999993</v>
          </cell>
          <cell r="I6">
            <v>-8719.7999999999993</v>
          </cell>
        </row>
        <row r="7">
          <cell r="E7">
            <v>3</v>
          </cell>
          <cell r="F7" t="str">
            <v>Subsidies towards Cost of Capital Assets</v>
          </cell>
          <cell r="G7">
            <v>-73.28</v>
          </cell>
          <cell r="I7">
            <v>-73.28</v>
          </cell>
        </row>
        <row r="8">
          <cell r="E8">
            <v>4</v>
          </cell>
          <cell r="F8" t="str">
            <v>Grants/Donations towards Cost of Caital Assets</v>
          </cell>
          <cell r="G8">
            <v>-1324.7400000000002</v>
          </cell>
          <cell r="I8">
            <v>-1324.7400000000002</v>
          </cell>
        </row>
        <row r="9">
          <cell r="E9">
            <v>5</v>
          </cell>
          <cell r="F9" t="str">
            <v xml:space="preserve">Less:Withdrawl towards cost of Capital Assets </v>
          </cell>
          <cell r="G9">
            <v>4051.61</v>
          </cell>
          <cell r="I9">
            <v>4051.61</v>
          </cell>
        </row>
        <row r="10">
          <cell r="E10">
            <v>6</v>
          </cell>
          <cell r="F10" t="str">
            <v>Statutory Reserves</v>
          </cell>
          <cell r="G10">
            <v>-69.260000000000005</v>
          </cell>
          <cell r="I10">
            <v>-69.260000000000005</v>
          </cell>
        </row>
        <row r="11">
          <cell r="E11">
            <v>7</v>
          </cell>
          <cell r="F11" t="str">
            <v>GIS Insurance &amp; Saving Fund</v>
          </cell>
          <cell r="G11">
            <v>-6.96</v>
          </cell>
          <cell r="I11">
            <v>-6.96</v>
          </cell>
        </row>
        <row r="12">
          <cell r="E12">
            <v>205</v>
          </cell>
          <cell r="F12" t="str">
            <v>Self funding Medical</v>
          </cell>
          <cell r="G12">
            <v>-13.11</v>
          </cell>
          <cell r="I12">
            <v>-13.11</v>
          </cell>
        </row>
        <row r="13">
          <cell r="E13">
            <v>8</v>
          </cell>
          <cell r="F13" t="str">
            <v>Surplus</v>
          </cell>
          <cell r="G13">
            <v>42329.5</v>
          </cell>
          <cell r="I13">
            <v>42329.5</v>
          </cell>
        </row>
        <row r="14">
          <cell r="E14">
            <v>217</v>
          </cell>
          <cell r="F14" t="str">
            <v>Capital Reserve</v>
          </cell>
          <cell r="G14">
            <v>-723.01</v>
          </cell>
          <cell r="I14">
            <v>-723.01</v>
          </cell>
        </row>
        <row r="15">
          <cell r="E15">
            <v>10</v>
          </cell>
          <cell r="F15" t="str">
            <v>Term Loans from  Banks</v>
          </cell>
          <cell r="G15">
            <v>-2088.73</v>
          </cell>
          <cell r="I15">
            <v>-2088.73</v>
          </cell>
        </row>
        <row r="16">
          <cell r="E16">
            <v>11</v>
          </cell>
          <cell r="F16" t="str">
            <v>Term Loans from Other Parties</v>
          </cell>
          <cell r="G16">
            <v>-23884.17</v>
          </cell>
          <cell r="I16">
            <v>-23884.17</v>
          </cell>
        </row>
        <row r="17">
          <cell r="E17">
            <v>214</v>
          </cell>
          <cell r="F17" t="str">
            <v>Term Loans on FRP Scheme</v>
          </cell>
          <cell r="G17">
            <v>0</v>
          </cell>
          <cell r="I17">
            <v>0</v>
          </cell>
        </row>
        <row r="18">
          <cell r="E18">
            <v>13</v>
          </cell>
          <cell r="F18" t="str">
            <v>Loan from GOAP</v>
          </cell>
          <cell r="G18">
            <v>-20.56</v>
          </cell>
          <cell r="I18">
            <v>-20.56</v>
          </cell>
        </row>
        <row r="19">
          <cell r="E19">
            <v>213</v>
          </cell>
          <cell r="F19" t="str">
            <v>Bonds under FRP Scheme</v>
          </cell>
          <cell r="G19">
            <v>-2024.65</v>
          </cell>
          <cell r="I19">
            <v>-2024.65</v>
          </cell>
        </row>
        <row r="20">
          <cell r="E20">
            <v>15</v>
          </cell>
          <cell r="F20" t="str">
            <v>Vendor Deposits</v>
          </cell>
          <cell r="G20">
            <v>-161.28000000000003</v>
          </cell>
          <cell r="I20">
            <v>-161.28000000000003</v>
          </cell>
        </row>
        <row r="21">
          <cell r="E21">
            <v>16</v>
          </cell>
          <cell r="F21" t="str">
            <v>Contribution Works</v>
          </cell>
          <cell r="G21">
            <v>-25.650000000000002</v>
          </cell>
          <cell r="I21">
            <v>-25.650000000000002</v>
          </cell>
        </row>
        <row r="22">
          <cell r="E22">
            <v>18</v>
          </cell>
          <cell r="F22" t="str">
            <v>Other Liabilities</v>
          </cell>
          <cell r="G22">
            <v>-126.9</v>
          </cell>
          <cell r="I22">
            <v>-126.9</v>
          </cell>
        </row>
        <row r="23">
          <cell r="E23">
            <v>237</v>
          </cell>
          <cell r="F23" t="str">
            <v>Accidental Risk-SFS</v>
          </cell>
          <cell r="G23">
            <v>-0.4</v>
          </cell>
          <cell r="I23">
            <v>-0.4</v>
          </cell>
        </row>
        <row r="24">
          <cell r="E24">
            <v>19</v>
          </cell>
          <cell r="F24" t="str">
            <v>Gratuiuty</v>
          </cell>
          <cell r="G24">
            <v>-489.06000000000006</v>
          </cell>
          <cell r="I24">
            <v>-489.06000000000006</v>
          </cell>
        </row>
        <row r="25">
          <cell r="E25">
            <v>20</v>
          </cell>
          <cell r="F25" t="str">
            <v>Leave Encashment</v>
          </cell>
          <cell r="G25">
            <v>-1456.3</v>
          </cell>
          <cell r="I25">
            <v>-1456.3</v>
          </cell>
        </row>
        <row r="26">
          <cell r="E26">
            <v>36</v>
          </cell>
          <cell r="F26" t="str">
            <v>APCPDCL Pension &amp; Gratuity Trust</v>
          </cell>
          <cell r="G26">
            <v>-572.99</v>
          </cell>
          <cell r="I26">
            <v>-572.99</v>
          </cell>
        </row>
        <row r="27">
          <cell r="E27">
            <v>239</v>
          </cell>
          <cell r="F27" t="str">
            <v>Medical Expenses (PRMS)</v>
          </cell>
          <cell r="G27">
            <v>-454.31</v>
          </cell>
          <cell r="I27">
            <v>-454.31</v>
          </cell>
        </row>
        <row r="28">
          <cell r="E28">
            <v>21</v>
          </cell>
          <cell r="F28" t="str">
            <v>From Banks</v>
          </cell>
          <cell r="G28">
            <v>0</v>
          </cell>
          <cell r="I28">
            <v>0</v>
          </cell>
        </row>
        <row r="29">
          <cell r="E29">
            <v>24</v>
          </cell>
          <cell r="F29" t="str">
            <v>Other Discoms</v>
          </cell>
          <cell r="G29">
            <v>-31110.579999999998</v>
          </cell>
          <cell r="I29">
            <v>-31110.579999999998</v>
          </cell>
        </row>
        <row r="30">
          <cell r="E30">
            <v>28</v>
          </cell>
          <cell r="F30" t="str">
            <v>Other Payables</v>
          </cell>
          <cell r="G30">
            <v>-2808.2599999999993</v>
          </cell>
          <cell r="I30">
            <v>-2808.2599999999993</v>
          </cell>
        </row>
        <row r="31">
          <cell r="E31">
            <v>29</v>
          </cell>
          <cell r="F31" t="str">
            <v>Employee Related Liabilities</v>
          </cell>
          <cell r="G31">
            <v>-223.87</v>
          </cell>
          <cell r="I31">
            <v>-223.87</v>
          </cell>
        </row>
        <row r="32">
          <cell r="E32">
            <v>30</v>
          </cell>
          <cell r="F32" t="str">
            <v>Statutory Liability</v>
          </cell>
          <cell r="G32">
            <v>-3.7200000000000109</v>
          </cell>
          <cell r="I32">
            <v>-3.7200000000000109</v>
          </cell>
        </row>
        <row r="33">
          <cell r="E33">
            <v>31</v>
          </cell>
          <cell r="F33" t="str">
            <v>Advance from Customers</v>
          </cell>
          <cell r="G33">
            <v>-183.58999999999997</v>
          </cell>
          <cell r="I33">
            <v>-183.58999999999997</v>
          </cell>
        </row>
        <row r="34">
          <cell r="E34">
            <v>32</v>
          </cell>
          <cell r="F34" t="str">
            <v>Consumer Deposits</v>
          </cell>
          <cell r="G34">
            <v>-5236.3099999999995</v>
          </cell>
          <cell r="I34">
            <v>-5236.3099999999995</v>
          </cell>
        </row>
        <row r="35">
          <cell r="E35">
            <v>33</v>
          </cell>
          <cell r="F35" t="str">
            <v>Govt. of AP SC/ST Payables</v>
          </cell>
          <cell r="G35">
            <v>-3.47</v>
          </cell>
          <cell r="I35">
            <v>-3.47</v>
          </cell>
        </row>
        <row r="36">
          <cell r="E36">
            <v>34</v>
          </cell>
          <cell r="F36" t="str">
            <v>Inter Unit Accounts</v>
          </cell>
          <cell r="G36">
            <v>-84.27</v>
          </cell>
          <cell r="I36">
            <v>-84.27</v>
          </cell>
        </row>
        <row r="37">
          <cell r="E37">
            <v>35</v>
          </cell>
          <cell r="F37" t="str">
            <v>Interest Payable to Consumers</v>
          </cell>
          <cell r="G37">
            <v>-306.35000000000002</v>
          </cell>
          <cell r="I37">
            <v>-306.35000000000002</v>
          </cell>
        </row>
        <row r="38">
          <cell r="E38">
            <v>37</v>
          </cell>
          <cell r="F38" t="str">
            <v>APCPDCL GPF Tust</v>
          </cell>
          <cell r="G38">
            <v>0</v>
          </cell>
          <cell r="I38">
            <v>0</v>
          </cell>
        </row>
        <row r="39">
          <cell r="E39">
            <v>39</v>
          </cell>
          <cell r="F39" t="str">
            <v>Other Liabilities</v>
          </cell>
          <cell r="G39">
            <v>-509.38</v>
          </cell>
          <cell r="I39">
            <v>-509.38</v>
          </cell>
        </row>
        <row r="40">
          <cell r="E40">
            <v>223</v>
          </cell>
          <cell r="F40" t="str">
            <v>ARTISAN PAYABLE</v>
          </cell>
          <cell r="G40">
            <v>-33.53</v>
          </cell>
          <cell r="I40">
            <v>-33.53</v>
          </cell>
        </row>
        <row r="41">
          <cell r="E41">
            <v>224</v>
          </cell>
          <cell r="F41" t="str">
            <v>GST OUTPUT TAX LIABILITIES</v>
          </cell>
          <cell r="G41">
            <v>-8.89</v>
          </cell>
          <cell r="I41">
            <v>-8.89</v>
          </cell>
        </row>
        <row r="42">
          <cell r="E42">
            <v>229</v>
          </cell>
          <cell r="F42" t="str">
            <v>Interest payable on FRP Bonds</v>
          </cell>
          <cell r="G42">
            <v>-780.84</v>
          </cell>
          <cell r="I42">
            <v>-780.84</v>
          </cell>
        </row>
        <row r="43">
          <cell r="E43">
            <v>40</v>
          </cell>
          <cell r="F43" t="str">
            <v>Provision for Employee Cost</v>
          </cell>
          <cell r="G43">
            <v>-85.96</v>
          </cell>
          <cell r="I43">
            <v>-85.96</v>
          </cell>
        </row>
        <row r="44">
          <cell r="E44">
            <v>41</v>
          </cell>
          <cell r="F44" t="str">
            <v>RPF Fund</v>
          </cell>
          <cell r="G44">
            <v>-0.01</v>
          </cell>
          <cell r="I44">
            <v>-0.01</v>
          </cell>
        </row>
        <row r="45">
          <cell r="E45">
            <v>42</v>
          </cell>
          <cell r="F45" t="str">
            <v>Provision for Adminsitration Expenses</v>
          </cell>
          <cell r="G45">
            <v>-15.41</v>
          </cell>
          <cell r="I45">
            <v>-15.41</v>
          </cell>
        </row>
        <row r="46">
          <cell r="E46">
            <v>44</v>
          </cell>
          <cell r="F46" t="str">
            <v>Provision for CWIP</v>
          </cell>
          <cell r="G46">
            <v>-0.75</v>
          </cell>
          <cell r="I46">
            <v>-0.75</v>
          </cell>
        </row>
        <row r="47">
          <cell r="E47">
            <v>45</v>
          </cell>
          <cell r="F47" t="str">
            <v>Provision for Interest</v>
          </cell>
          <cell r="G47">
            <v>-466.62</v>
          </cell>
          <cell r="I47">
            <v>-466.62</v>
          </cell>
        </row>
        <row r="48">
          <cell r="E48">
            <v>46</v>
          </cell>
          <cell r="F48" t="str">
            <v>Provision for O &amp; M Works</v>
          </cell>
          <cell r="G48">
            <v>-3.73</v>
          </cell>
          <cell r="I48">
            <v>-3.73</v>
          </cell>
        </row>
        <row r="49">
          <cell r="E49">
            <v>48</v>
          </cell>
          <cell r="F49" t="str">
            <v>Provision for Income Tax</v>
          </cell>
          <cell r="G49">
            <v>0</v>
          </cell>
          <cell r="I49">
            <v>0</v>
          </cell>
        </row>
        <row r="50">
          <cell r="E50">
            <v>215</v>
          </cell>
          <cell r="F50" t="str">
            <v>Provision for R &amp; C Penalties</v>
          </cell>
          <cell r="G50">
            <v>-0.1</v>
          </cell>
          <cell r="I50">
            <v>-0.1</v>
          </cell>
        </row>
        <row r="51">
          <cell r="E51">
            <v>49</v>
          </cell>
          <cell r="F51" t="str">
            <v>Land and Land rights</v>
          </cell>
          <cell r="G51">
            <v>8.64</v>
          </cell>
          <cell r="I51">
            <v>8.64</v>
          </cell>
        </row>
        <row r="52">
          <cell r="E52">
            <v>50</v>
          </cell>
          <cell r="F52" t="str">
            <v>Buildings</v>
          </cell>
          <cell r="G52">
            <v>383.76</v>
          </cell>
          <cell r="I52">
            <v>383.76</v>
          </cell>
        </row>
        <row r="53">
          <cell r="E53">
            <v>51</v>
          </cell>
          <cell r="F53" t="str">
            <v>Other Civil Works</v>
          </cell>
          <cell r="G53">
            <v>229.23</v>
          </cell>
          <cell r="I53">
            <v>229.23</v>
          </cell>
        </row>
        <row r="54">
          <cell r="E54">
            <v>52</v>
          </cell>
          <cell r="F54" t="str">
            <v>Plant and Machinery</v>
          </cell>
          <cell r="G54">
            <v>9719.32</v>
          </cell>
          <cell r="I54">
            <v>9719.32</v>
          </cell>
        </row>
        <row r="55">
          <cell r="E55">
            <v>53</v>
          </cell>
          <cell r="F55" t="str">
            <v>Lines and Cable Network</v>
          </cell>
          <cell r="G55">
            <v>9503.4</v>
          </cell>
          <cell r="I55">
            <v>9503.4</v>
          </cell>
        </row>
        <row r="56">
          <cell r="E56">
            <v>54</v>
          </cell>
          <cell r="F56" t="str">
            <v>Meters &amp; Metering Equipment</v>
          </cell>
          <cell r="G56">
            <v>1994.68</v>
          </cell>
          <cell r="I56">
            <v>1994.68</v>
          </cell>
        </row>
        <row r="57">
          <cell r="E57">
            <v>55</v>
          </cell>
          <cell r="F57" t="str">
            <v>Vehicles</v>
          </cell>
          <cell r="G57">
            <v>7.36</v>
          </cell>
          <cell r="I57">
            <v>7.36</v>
          </cell>
        </row>
        <row r="58">
          <cell r="E58">
            <v>56</v>
          </cell>
          <cell r="F58" t="str">
            <v>Furniture and Fixtures</v>
          </cell>
          <cell r="G58">
            <v>18.600000000000001</v>
          </cell>
          <cell r="I58">
            <v>18.600000000000001</v>
          </cell>
        </row>
        <row r="59">
          <cell r="E59">
            <v>57</v>
          </cell>
          <cell r="F59" t="str">
            <v>Office Equipment</v>
          </cell>
          <cell r="G59">
            <v>57.739999999999995</v>
          </cell>
          <cell r="I59">
            <v>57.739999999999995</v>
          </cell>
        </row>
        <row r="60">
          <cell r="E60">
            <v>58</v>
          </cell>
          <cell r="F60" t="str">
            <v>Air Conditioners</v>
          </cell>
          <cell r="G60">
            <v>2.77</v>
          </cell>
          <cell r="I60">
            <v>2.77</v>
          </cell>
        </row>
        <row r="61">
          <cell r="E61">
            <v>59</v>
          </cell>
          <cell r="F61" t="str">
            <v>Computer &amp; IT Equipment</v>
          </cell>
          <cell r="G61">
            <v>200.11</v>
          </cell>
          <cell r="I61">
            <v>200.11</v>
          </cell>
        </row>
        <row r="62">
          <cell r="E62">
            <v>61</v>
          </cell>
          <cell r="F62" t="str">
            <v>Computer Software</v>
          </cell>
          <cell r="G62">
            <v>70.8</v>
          </cell>
          <cell r="I62">
            <v>70.8</v>
          </cell>
        </row>
        <row r="63">
          <cell r="E63">
            <v>67</v>
          </cell>
          <cell r="F63" t="str">
            <v>Buildings</v>
          </cell>
          <cell r="G63">
            <v>-131.5</v>
          </cell>
          <cell r="I63">
            <v>-131.5</v>
          </cell>
        </row>
        <row r="64">
          <cell r="E64">
            <v>68</v>
          </cell>
          <cell r="F64" t="str">
            <v>Other Civil Works</v>
          </cell>
          <cell r="G64">
            <v>-51.97</v>
          </cell>
          <cell r="I64">
            <v>-51.97</v>
          </cell>
        </row>
        <row r="65">
          <cell r="E65">
            <v>69</v>
          </cell>
          <cell r="F65" t="str">
            <v>Plant and Machinery</v>
          </cell>
          <cell r="G65">
            <v>-5104.43</v>
          </cell>
          <cell r="I65">
            <v>-5104.43</v>
          </cell>
        </row>
        <row r="66">
          <cell r="E66">
            <v>70</v>
          </cell>
          <cell r="F66" t="str">
            <v>Lines and Cable Network</v>
          </cell>
          <cell r="G66">
            <v>-4500.63</v>
          </cell>
          <cell r="I66">
            <v>-4500.63</v>
          </cell>
        </row>
        <row r="67">
          <cell r="E67">
            <v>71</v>
          </cell>
          <cell r="F67" t="str">
            <v>Meters &amp; Metering Equipment</v>
          </cell>
          <cell r="G67">
            <v>-1197.48</v>
          </cell>
          <cell r="I67">
            <v>-1197.48</v>
          </cell>
        </row>
        <row r="68">
          <cell r="E68">
            <v>72</v>
          </cell>
          <cell r="F68" t="str">
            <v>Vehicles</v>
          </cell>
          <cell r="G68">
            <v>-6.39</v>
          </cell>
          <cell r="I68">
            <v>-6.39</v>
          </cell>
        </row>
        <row r="69">
          <cell r="E69">
            <v>73</v>
          </cell>
          <cell r="F69" t="str">
            <v>Furniture and Fixtures</v>
          </cell>
          <cell r="G69">
            <v>-12.05</v>
          </cell>
          <cell r="I69">
            <v>-12.05</v>
          </cell>
        </row>
        <row r="70">
          <cell r="E70">
            <v>74</v>
          </cell>
          <cell r="F70" t="str">
            <v>Office Equipment</v>
          </cell>
          <cell r="G70">
            <v>-34.629999999999995</v>
          </cell>
          <cell r="I70">
            <v>-34.629999999999995</v>
          </cell>
        </row>
        <row r="71">
          <cell r="E71">
            <v>77</v>
          </cell>
          <cell r="F71" t="str">
            <v>Computer Software</v>
          </cell>
          <cell r="G71">
            <v>-53.77</v>
          </cell>
          <cell r="I71">
            <v>-53.77</v>
          </cell>
        </row>
        <row r="72">
          <cell r="E72">
            <v>81</v>
          </cell>
          <cell r="F72" t="str">
            <v>Capital work-in-progress</v>
          </cell>
          <cell r="G72">
            <v>1128.78</v>
          </cell>
          <cell r="I72">
            <v>1128.78</v>
          </cell>
        </row>
        <row r="73">
          <cell r="E73">
            <v>75</v>
          </cell>
          <cell r="F73" t="str">
            <v>Air Conditioners</v>
          </cell>
          <cell r="G73">
            <v>-1.77</v>
          </cell>
          <cell r="I73">
            <v>-1.77</v>
          </cell>
        </row>
        <row r="74">
          <cell r="E74">
            <v>76</v>
          </cell>
          <cell r="F74" t="str">
            <v>Computer &amp; IT Equipment</v>
          </cell>
          <cell r="G74">
            <v>-158.15</v>
          </cell>
          <cell r="I74">
            <v>-158.15</v>
          </cell>
        </row>
        <row r="75">
          <cell r="E75">
            <v>63</v>
          </cell>
          <cell r="F75" t="str">
            <v>Devolution</v>
          </cell>
          <cell r="G75">
            <v>0</v>
          </cell>
          <cell r="I75">
            <v>0</v>
          </cell>
        </row>
        <row r="76">
          <cell r="E76">
            <v>82</v>
          </cell>
          <cell r="F76" t="str">
            <v>Investment in APPDCL</v>
          </cell>
          <cell r="G76">
            <v>498.15</v>
          </cell>
          <cell r="I76">
            <v>498.15</v>
          </cell>
        </row>
        <row r="77">
          <cell r="E77">
            <v>91</v>
          </cell>
          <cell r="F77" t="str">
            <v>Deferred Tax Asset</v>
          </cell>
          <cell r="G77">
            <v>2785.18</v>
          </cell>
          <cell r="I77">
            <v>2785.18</v>
          </cell>
        </row>
        <row r="78">
          <cell r="E78">
            <v>92</v>
          </cell>
          <cell r="F78" t="str">
            <v>Deferred Tax Liability</v>
          </cell>
          <cell r="G78">
            <v>-1009.29</v>
          </cell>
          <cell r="I78">
            <v>-1009.29</v>
          </cell>
        </row>
        <row r="79">
          <cell r="E79">
            <v>94</v>
          </cell>
          <cell r="F79" t="str">
            <v>Loans and Advances to Employees</v>
          </cell>
          <cell r="G79">
            <v>25.189999999999998</v>
          </cell>
          <cell r="I79">
            <v>25.189999999999998</v>
          </cell>
        </row>
        <row r="80">
          <cell r="E80">
            <v>95</v>
          </cell>
          <cell r="F80" t="str">
            <v>Loans and Advances to Employees</v>
          </cell>
          <cell r="G80">
            <v>1.32</v>
          </cell>
          <cell r="I80">
            <v>1.32</v>
          </cell>
        </row>
        <row r="81">
          <cell r="E81">
            <v>96</v>
          </cell>
          <cell r="F81" t="str">
            <v>Deposits</v>
          </cell>
          <cell r="G81">
            <v>175.67</v>
          </cell>
          <cell r="I81">
            <v>175.67</v>
          </cell>
        </row>
        <row r="82">
          <cell r="E82">
            <v>97</v>
          </cell>
          <cell r="F82" t="str">
            <v>Capital Advances</v>
          </cell>
          <cell r="G82">
            <v>112.9</v>
          </cell>
          <cell r="I82">
            <v>112.9</v>
          </cell>
        </row>
        <row r="83">
          <cell r="E83">
            <v>98</v>
          </cell>
          <cell r="F83" t="str">
            <v>Long Term Receivables from Employees</v>
          </cell>
          <cell r="G83">
            <v>5.12</v>
          </cell>
          <cell r="I83">
            <v>5.12</v>
          </cell>
        </row>
        <row r="84">
          <cell r="E84">
            <v>99</v>
          </cell>
          <cell r="F84" t="str">
            <v>Receivable from ITI, Chennai</v>
          </cell>
          <cell r="G84">
            <v>0.49</v>
          </cell>
          <cell r="I84">
            <v>0.49</v>
          </cell>
        </row>
        <row r="85">
          <cell r="E85">
            <v>100</v>
          </cell>
          <cell r="F85" t="str">
            <v>a) Stores and Spares (Valued at Cost/NRV whichever is less)</v>
          </cell>
          <cell r="G85">
            <v>287.85999999999996</v>
          </cell>
          <cell r="I85">
            <v>287.85999999999996</v>
          </cell>
        </row>
        <row r="86">
          <cell r="E86">
            <v>102</v>
          </cell>
          <cell r="F86" t="str">
            <v>Less: Provision for Recovery/Write Off of Cost of Materials</v>
          </cell>
          <cell r="G86">
            <v>-2.17</v>
          </cell>
          <cell r="I86">
            <v>-2.17</v>
          </cell>
        </row>
        <row r="87">
          <cell r="E87">
            <v>103</v>
          </cell>
          <cell r="F87" t="str">
            <v xml:space="preserve">Secured, Considered Good </v>
          </cell>
          <cell r="G87">
            <v>23943.520000000004</v>
          </cell>
          <cell r="I87">
            <v>23943.520000000004</v>
          </cell>
        </row>
        <row r="88">
          <cell r="E88">
            <v>104</v>
          </cell>
          <cell r="F88" t="str">
            <v>Unsecured, Considered Good</v>
          </cell>
          <cell r="G88">
            <v>0.22</v>
          </cell>
          <cell r="I88">
            <v>0.22</v>
          </cell>
        </row>
        <row r="89">
          <cell r="E89">
            <v>106</v>
          </cell>
          <cell r="F89" t="str">
            <v>Less: Provision for Doubtful Debts</v>
          </cell>
          <cell r="G89">
            <v>-726.42</v>
          </cell>
          <cell r="I89">
            <v>-726.42</v>
          </cell>
        </row>
        <row r="90">
          <cell r="E90">
            <v>202</v>
          </cell>
          <cell r="F90" t="str">
            <v>Less: Prov.Dubtful Dts-FSA</v>
          </cell>
          <cell r="G90">
            <v>-26.02</v>
          </cell>
          <cell r="I90">
            <v>-26.02</v>
          </cell>
        </row>
        <row r="91">
          <cell r="E91">
            <v>107</v>
          </cell>
          <cell r="F91" t="str">
            <v>In Current Accounts</v>
          </cell>
          <cell r="G91">
            <v>75.180000000004085</v>
          </cell>
          <cell r="I91">
            <v>75.180000000004085</v>
          </cell>
        </row>
        <row r="92">
          <cell r="E92">
            <v>108</v>
          </cell>
          <cell r="F92" t="str">
            <v>Remittance in Transit</v>
          </cell>
          <cell r="G92">
            <v>-3.0999999999999943</v>
          </cell>
          <cell r="I92">
            <v>-3.0999999999999943</v>
          </cell>
        </row>
        <row r="93">
          <cell r="E93">
            <v>109</v>
          </cell>
          <cell r="F93" t="str">
            <v>In Deposits with Original Maturity less than 3 months</v>
          </cell>
          <cell r="G93">
            <v>131.20000000000002</v>
          </cell>
          <cell r="I93">
            <v>131.20000000000002</v>
          </cell>
        </row>
        <row r="94">
          <cell r="E94">
            <v>111</v>
          </cell>
          <cell r="F94" t="str">
            <v>Cash on Hand</v>
          </cell>
          <cell r="G94">
            <v>18.199999999999996</v>
          </cell>
          <cell r="I94">
            <v>18.199999999999996</v>
          </cell>
        </row>
        <row r="95">
          <cell r="E95">
            <v>114</v>
          </cell>
          <cell r="F95" t="str">
            <v>Loans and Advances to Employees</v>
          </cell>
          <cell r="G95">
            <v>7.43</v>
          </cell>
          <cell r="I95">
            <v>7.43</v>
          </cell>
        </row>
        <row r="96">
          <cell r="E96">
            <v>115</v>
          </cell>
          <cell r="F96" t="str">
            <v>Advance Tax (including TDS Receivable &amp; Refunds Receivable) (Net)</v>
          </cell>
          <cell r="G96">
            <v>27.32</v>
          </cell>
          <cell r="I96">
            <v>27.32</v>
          </cell>
        </row>
        <row r="97">
          <cell r="E97">
            <v>116</v>
          </cell>
          <cell r="F97" t="str">
            <v>Advance to Suppliers</v>
          </cell>
          <cell r="G97">
            <v>1.83</v>
          </cell>
          <cell r="I97">
            <v>1.83</v>
          </cell>
        </row>
        <row r="98">
          <cell r="E98">
            <v>117</v>
          </cell>
          <cell r="F98" t="str">
            <v>Government Receivables</v>
          </cell>
          <cell r="G98">
            <v>5286.22</v>
          </cell>
          <cell r="I98">
            <v>5286.22</v>
          </cell>
        </row>
        <row r="99">
          <cell r="E99">
            <v>118</v>
          </cell>
          <cell r="F99" t="str">
            <v>Other Loans &amp; Advances</v>
          </cell>
          <cell r="G99">
            <v>0.23</v>
          </cell>
          <cell r="I99">
            <v>0.23</v>
          </cell>
        </row>
        <row r="100">
          <cell r="E100">
            <v>211</v>
          </cell>
          <cell r="F100" t="str">
            <v>ProGovt. Rcbles-Adl</v>
          </cell>
          <cell r="G100">
            <v>-3877.87</v>
          </cell>
          <cell r="I100">
            <v>-3877.87</v>
          </cell>
        </row>
        <row r="101">
          <cell r="E101">
            <v>119</v>
          </cell>
          <cell r="F101" t="str">
            <v>Fixed Asset Retired From Active use and held for Disposal</v>
          </cell>
          <cell r="G101">
            <v>7.0000000000000007E-2</v>
          </cell>
          <cell r="I101">
            <v>7.0000000000000007E-2</v>
          </cell>
        </row>
        <row r="102">
          <cell r="E102">
            <v>121</v>
          </cell>
          <cell r="F102" t="str">
            <v>Interest Accrued on Investments</v>
          </cell>
          <cell r="G102">
            <v>3.57</v>
          </cell>
          <cell r="I102">
            <v>3.57</v>
          </cell>
        </row>
        <row r="103">
          <cell r="E103">
            <v>123</v>
          </cell>
          <cell r="F103" t="str">
            <v xml:space="preserve">FSA Revenue - Receivables </v>
          </cell>
          <cell r="G103">
            <v>551.36</v>
          </cell>
          <cell r="I103">
            <v>551.36</v>
          </cell>
        </row>
        <row r="104">
          <cell r="E104">
            <v>124</v>
          </cell>
          <cell r="F104" t="str">
            <v>APSEE Master P &amp; G Trust</v>
          </cell>
          <cell r="G104">
            <v>81.41</v>
          </cell>
          <cell r="I104">
            <v>81.41</v>
          </cell>
        </row>
        <row r="105">
          <cell r="E105">
            <v>236</v>
          </cell>
          <cell r="F105" t="str">
            <v>GPF Trust</v>
          </cell>
          <cell r="G105">
            <v>-5.64</v>
          </cell>
          <cell r="I105">
            <v>-5.64</v>
          </cell>
        </row>
        <row r="106">
          <cell r="E106">
            <v>125</v>
          </cell>
          <cell r="F106" t="str">
            <v>Other Receivables</v>
          </cell>
          <cell r="G106">
            <v>92.070000000000022</v>
          </cell>
          <cell r="I106">
            <v>92.070000000000022</v>
          </cell>
        </row>
        <row r="107">
          <cell r="E107">
            <v>218</v>
          </cell>
          <cell r="F107" t="str">
            <v>Receivables on Demerger</v>
          </cell>
          <cell r="G107">
            <v>4294.47</v>
          </cell>
          <cell r="I107">
            <v>4294.47</v>
          </cell>
        </row>
        <row r="108">
          <cell r="E108">
            <v>234</v>
          </cell>
          <cell r="F108" t="str">
            <v>Receivable from Govt under UDAY for Losses</v>
          </cell>
          <cell r="G108">
            <v>0</v>
          </cell>
          <cell r="I108">
            <v>0</v>
          </cell>
        </row>
        <row r="109">
          <cell r="E109">
            <v>126</v>
          </cell>
          <cell r="F109" t="str">
            <v>LT Supply</v>
          </cell>
          <cell r="G109">
            <v>-11204.400000000001</v>
          </cell>
          <cell r="I109">
            <v>-11204.400000000001</v>
          </cell>
        </row>
        <row r="110">
          <cell r="E110">
            <v>127</v>
          </cell>
          <cell r="F110" t="str">
            <v>HT Supply</v>
          </cell>
          <cell r="G110">
            <v>-19608.469999999987</v>
          </cell>
          <cell r="I110">
            <v>-19608.469999999987</v>
          </cell>
        </row>
        <row r="111">
          <cell r="E111">
            <v>128</v>
          </cell>
          <cell r="F111" t="str">
            <v>Inter State Sale Of Power</v>
          </cell>
          <cell r="G111">
            <v>-518.72</v>
          </cell>
          <cell r="I111">
            <v>-518.72</v>
          </cell>
        </row>
        <row r="112">
          <cell r="E112">
            <v>129</v>
          </cell>
          <cell r="F112" t="str">
            <v>FSA</v>
          </cell>
          <cell r="G112">
            <v>-1.84</v>
          </cell>
          <cell r="I112">
            <v>-1.84</v>
          </cell>
        </row>
        <row r="113">
          <cell r="E113">
            <v>130</v>
          </cell>
          <cell r="F113" t="str">
            <v>Tariff Subsidy</v>
          </cell>
          <cell r="G113">
            <v>-1349.52</v>
          </cell>
          <cell r="I113">
            <v>-1349.52</v>
          </cell>
        </row>
        <row r="114">
          <cell r="E114">
            <v>235</v>
          </cell>
          <cell r="F114" t="str">
            <v>Receivable from Govt under UDAY for Losses</v>
          </cell>
          <cell r="G114">
            <v>-4073</v>
          </cell>
          <cell r="I114">
            <v>-4073</v>
          </cell>
        </row>
        <row r="115">
          <cell r="E115">
            <v>132</v>
          </cell>
          <cell r="F115" t="str">
            <v>Customer Charges</v>
          </cell>
          <cell r="G115">
            <v>-912.41</v>
          </cell>
          <cell r="I115">
            <v>-912.41</v>
          </cell>
        </row>
        <row r="116">
          <cell r="E116">
            <v>133</v>
          </cell>
          <cell r="F116" t="str">
            <v xml:space="preserve">Theft of Power </v>
          </cell>
          <cell r="G116">
            <v>-45.96</v>
          </cell>
          <cell r="I116">
            <v>-45.96</v>
          </cell>
        </row>
        <row r="117">
          <cell r="E117">
            <v>134</v>
          </cell>
          <cell r="F117" t="str">
            <v>DPS Income</v>
          </cell>
          <cell r="G117">
            <v>-2428.9499999999998</v>
          </cell>
          <cell r="I117">
            <v>-2428.9499999999998</v>
          </cell>
        </row>
        <row r="118">
          <cell r="E118">
            <v>135</v>
          </cell>
          <cell r="F118" t="str">
            <v>Other Operating Income</v>
          </cell>
          <cell r="G118">
            <v>-35.749999999999993</v>
          </cell>
          <cell r="I118">
            <v>-35.749999999999993</v>
          </cell>
        </row>
        <row r="119">
          <cell r="E119">
            <v>136</v>
          </cell>
          <cell r="F119" t="str">
            <v>Less: Electricity Duty</v>
          </cell>
          <cell r="G119">
            <v>225.67</v>
          </cell>
          <cell r="I119">
            <v>225.67</v>
          </cell>
        </row>
        <row r="120">
          <cell r="E120">
            <v>212</v>
          </cell>
          <cell r="F120" t="str">
            <v>R &amp; C Penalties</v>
          </cell>
          <cell r="G120">
            <v>-0.03</v>
          </cell>
          <cell r="I120">
            <v>-0.03</v>
          </cell>
        </row>
        <row r="121">
          <cell r="E121">
            <v>145</v>
          </cell>
          <cell r="F121" t="str">
            <v>Amortization of Consumer Contributions, Grants &amp; Subsidies</v>
          </cell>
          <cell r="G121">
            <v>-378.52</v>
          </cell>
          <cell r="I121">
            <v>-378.52</v>
          </cell>
        </row>
        <row r="122">
          <cell r="E122">
            <v>137</v>
          </cell>
          <cell r="F122" t="str">
            <v>Banks</v>
          </cell>
          <cell r="G122">
            <v>-15.08</v>
          </cell>
          <cell r="I122">
            <v>-15.08</v>
          </cell>
        </row>
        <row r="123">
          <cell r="E123">
            <v>138</v>
          </cell>
          <cell r="F123" t="str">
            <v>Staff</v>
          </cell>
          <cell r="G123">
            <v>-1.1000000000000001</v>
          </cell>
          <cell r="I123">
            <v>-1.1000000000000001</v>
          </cell>
        </row>
        <row r="124">
          <cell r="E124">
            <v>139</v>
          </cell>
          <cell r="F124" t="str">
            <v xml:space="preserve">Others </v>
          </cell>
          <cell r="G124">
            <v>-9.9099999999999984</v>
          </cell>
          <cell r="I124">
            <v>-9.9099999999999984</v>
          </cell>
        </row>
        <row r="125">
          <cell r="E125">
            <v>140</v>
          </cell>
          <cell r="F125" t="str">
            <v>Rent from Companies</v>
          </cell>
          <cell r="G125">
            <v>-0.7</v>
          </cell>
          <cell r="I125">
            <v>-0.7</v>
          </cell>
        </row>
        <row r="126">
          <cell r="E126">
            <v>141</v>
          </cell>
          <cell r="F126" t="str">
            <v>Sale of Scrap</v>
          </cell>
          <cell r="G126">
            <v>-1.0900000000000003</v>
          </cell>
          <cell r="I126">
            <v>-1.0900000000000003</v>
          </cell>
        </row>
        <row r="127">
          <cell r="E127">
            <v>142</v>
          </cell>
          <cell r="F127" t="str">
            <v>Penalties from Suppliers</v>
          </cell>
          <cell r="G127">
            <v>-8.2999999999999989</v>
          </cell>
          <cell r="I127">
            <v>-8.2999999999999989</v>
          </cell>
        </row>
        <row r="128">
          <cell r="E128">
            <v>144</v>
          </cell>
          <cell r="F128" t="str">
            <v>Other Income</v>
          </cell>
          <cell r="G128">
            <v>-331.18000000000012</v>
          </cell>
          <cell r="I128">
            <v>-331.18000000000012</v>
          </cell>
        </row>
        <row r="129">
          <cell r="E129">
            <v>146</v>
          </cell>
          <cell r="F129" t="str">
            <v>Power Purchase  - Fixed Cost</v>
          </cell>
          <cell r="G129">
            <v>8996.33</v>
          </cell>
          <cell r="I129">
            <v>8996.33</v>
          </cell>
        </row>
        <row r="130">
          <cell r="E130">
            <v>207</v>
          </cell>
          <cell r="F130" t="str">
            <v>Power Purchase  - Variable  Cost</v>
          </cell>
          <cell r="G130">
            <v>24553.519999999997</v>
          </cell>
          <cell r="I130">
            <v>24553.519999999997</v>
          </cell>
        </row>
        <row r="131">
          <cell r="E131">
            <v>208</v>
          </cell>
          <cell r="F131" t="str">
            <v>Transmission Charges</v>
          </cell>
          <cell r="G131">
            <v>4244.26</v>
          </cell>
          <cell r="I131">
            <v>4244.26</v>
          </cell>
        </row>
        <row r="132">
          <cell r="E132">
            <v>209</v>
          </cell>
          <cell r="F132" t="str">
            <v>Other Incidental Charges</v>
          </cell>
          <cell r="G132">
            <v>95.990000000000009</v>
          </cell>
          <cell r="I132">
            <v>95.990000000000009</v>
          </cell>
        </row>
        <row r="133">
          <cell r="E133">
            <v>147</v>
          </cell>
          <cell r="F133" t="str">
            <v>Salaries &amp; Incentives</v>
          </cell>
          <cell r="G133">
            <v>2005.2999999999995</v>
          </cell>
          <cell r="I133">
            <v>2005.2999999999995</v>
          </cell>
        </row>
        <row r="134">
          <cell r="E134">
            <v>226</v>
          </cell>
          <cell r="F134" t="str">
            <v>ARTISANS REMUNERATION</v>
          </cell>
          <cell r="G134">
            <v>377.56000000000006</v>
          </cell>
          <cell r="I134">
            <v>377.56000000000006</v>
          </cell>
        </row>
        <row r="135">
          <cell r="E135">
            <v>148</v>
          </cell>
          <cell r="F135" t="str">
            <v>Contributions to Provident Funds</v>
          </cell>
          <cell r="G135">
            <v>124.25</v>
          </cell>
          <cell r="I135">
            <v>124.25</v>
          </cell>
        </row>
        <row r="136">
          <cell r="E136">
            <v>227</v>
          </cell>
          <cell r="F136" t="str">
            <v>ARTISANS EPF AND ESI CONTRIBUTIONS</v>
          </cell>
          <cell r="G136">
            <v>20.900000000000002</v>
          </cell>
          <cell r="I136">
            <v>20.900000000000002</v>
          </cell>
        </row>
        <row r="137">
          <cell r="E137">
            <v>149</v>
          </cell>
          <cell r="F137" t="str">
            <v>Pension Benefits</v>
          </cell>
          <cell r="G137">
            <v>640.94000000000005</v>
          </cell>
          <cell r="I137">
            <v>640.94000000000005</v>
          </cell>
        </row>
        <row r="138">
          <cell r="E138">
            <v>150</v>
          </cell>
          <cell r="F138" t="str">
            <v>Directors' Remuneration &amp; Allowances</v>
          </cell>
          <cell r="G138">
            <v>2.99</v>
          </cell>
          <cell r="I138">
            <v>2.99</v>
          </cell>
        </row>
        <row r="139">
          <cell r="E139">
            <v>151</v>
          </cell>
          <cell r="F139" t="str">
            <v>Directors' Sitting Fees</v>
          </cell>
          <cell r="G139">
            <v>0</v>
          </cell>
          <cell r="I139">
            <v>0</v>
          </cell>
        </row>
        <row r="140">
          <cell r="E140">
            <v>152</v>
          </cell>
          <cell r="F140" t="str">
            <v>Staff Welfare Expenses</v>
          </cell>
          <cell r="G140">
            <v>96.66</v>
          </cell>
          <cell r="I140">
            <v>96.66</v>
          </cell>
        </row>
        <row r="141">
          <cell r="E141">
            <v>153</v>
          </cell>
          <cell r="F141" t="str">
            <v>Employee Cost Capitalised</v>
          </cell>
          <cell r="G141">
            <v>-102.45</v>
          </cell>
          <cell r="I141">
            <v>-102.45</v>
          </cell>
        </row>
        <row r="142">
          <cell r="E142">
            <v>154</v>
          </cell>
          <cell r="F142" t="str">
            <v>Licence fees - APERC</v>
          </cell>
          <cell r="G142">
            <v>9.01</v>
          </cell>
          <cell r="I142">
            <v>9.01</v>
          </cell>
        </row>
        <row r="143">
          <cell r="E143">
            <v>155</v>
          </cell>
          <cell r="F143" t="str">
            <v>Repairs &amp; Maintenance to Plant and Machinery</v>
          </cell>
          <cell r="G143">
            <v>184.66</v>
          </cell>
          <cell r="I143">
            <v>184.66</v>
          </cell>
        </row>
        <row r="144">
          <cell r="E144">
            <v>156</v>
          </cell>
          <cell r="F144" t="str">
            <v>Repairs &amp; Maintenance to Buildings &amp; Civil works</v>
          </cell>
          <cell r="G144">
            <v>4.38</v>
          </cell>
          <cell r="I144">
            <v>4.38</v>
          </cell>
        </row>
        <row r="145">
          <cell r="E145">
            <v>157</v>
          </cell>
          <cell r="F145" t="str">
            <v>Repairs to Vehicles</v>
          </cell>
          <cell r="G145">
            <v>50.720000000000006</v>
          </cell>
          <cell r="I145">
            <v>50.720000000000006</v>
          </cell>
        </row>
        <row r="146">
          <cell r="E146">
            <v>158</v>
          </cell>
          <cell r="F146" t="str">
            <v>R &amp; M Others</v>
          </cell>
          <cell r="G146">
            <v>8.5500000000000007</v>
          </cell>
          <cell r="I146">
            <v>8.5500000000000007</v>
          </cell>
        </row>
        <row r="147">
          <cell r="E147">
            <v>159</v>
          </cell>
          <cell r="F147" t="str">
            <v>Office Maintenance</v>
          </cell>
          <cell r="G147">
            <v>0.7</v>
          </cell>
          <cell r="I147">
            <v>0.7</v>
          </cell>
        </row>
        <row r="148">
          <cell r="E148">
            <v>160</v>
          </cell>
          <cell r="F148" t="str">
            <v>Vehicle Hire Charges</v>
          </cell>
          <cell r="G148">
            <v>1.37</v>
          </cell>
          <cell r="I148">
            <v>1.37</v>
          </cell>
        </row>
        <row r="149">
          <cell r="E149">
            <v>161</v>
          </cell>
          <cell r="F149" t="str">
            <v>Rent</v>
          </cell>
          <cell r="G149">
            <v>0.87</v>
          </cell>
          <cell r="I149">
            <v>0.87</v>
          </cell>
        </row>
        <row r="150">
          <cell r="E150">
            <v>162</v>
          </cell>
          <cell r="F150" t="str">
            <v>Rates &amp; Taxes</v>
          </cell>
          <cell r="G150">
            <v>4.29</v>
          </cell>
          <cell r="I150">
            <v>4.29</v>
          </cell>
        </row>
        <row r="151">
          <cell r="E151">
            <v>163</v>
          </cell>
          <cell r="F151" t="str">
            <v>Insurance</v>
          </cell>
          <cell r="G151">
            <v>0.39</v>
          </cell>
          <cell r="I151">
            <v>0.39</v>
          </cell>
        </row>
        <row r="152">
          <cell r="E152">
            <v>164</v>
          </cell>
          <cell r="F152" t="str">
            <v>Telephone &amp; Communication</v>
          </cell>
          <cell r="G152">
            <v>4.6499999999999995</v>
          </cell>
          <cell r="I152">
            <v>4.6499999999999995</v>
          </cell>
        </row>
        <row r="153">
          <cell r="E153">
            <v>165</v>
          </cell>
          <cell r="F153" t="str">
            <v>Postage &amp; Telegrams</v>
          </cell>
          <cell r="G153">
            <v>0.16</v>
          </cell>
          <cell r="I153">
            <v>0.16</v>
          </cell>
        </row>
        <row r="154">
          <cell r="E154">
            <v>166</v>
          </cell>
          <cell r="F154" t="str">
            <v>Legal Charges</v>
          </cell>
          <cell r="G154">
            <v>3.04</v>
          </cell>
          <cell r="I154">
            <v>3.04</v>
          </cell>
        </row>
        <row r="155">
          <cell r="E155">
            <v>167</v>
          </cell>
          <cell r="F155" t="str">
            <v>Audit Expenses</v>
          </cell>
          <cell r="G155">
            <v>0.18</v>
          </cell>
          <cell r="I155">
            <v>0.18</v>
          </cell>
        </row>
        <row r="156">
          <cell r="E156">
            <v>170</v>
          </cell>
          <cell r="F156" t="str">
            <v>Professional Charges</v>
          </cell>
          <cell r="G156">
            <v>43.180000000000007</v>
          </cell>
          <cell r="I156">
            <v>43.180000000000007</v>
          </cell>
        </row>
        <row r="157">
          <cell r="E157">
            <v>171</v>
          </cell>
          <cell r="F157" t="str">
            <v>Contract Labour Charges</v>
          </cell>
          <cell r="G157">
            <v>10.87</v>
          </cell>
          <cell r="I157">
            <v>10.87</v>
          </cell>
        </row>
        <row r="158">
          <cell r="E158">
            <v>172</v>
          </cell>
          <cell r="F158" t="str">
            <v>Inventories Handling Charges</v>
          </cell>
          <cell r="G158">
            <v>0.97</v>
          </cell>
          <cell r="I158">
            <v>0.97</v>
          </cell>
        </row>
        <row r="159">
          <cell r="E159">
            <v>174</v>
          </cell>
          <cell r="F159" t="str">
            <v>Other Expenses</v>
          </cell>
          <cell r="G159">
            <v>24.349999999999998</v>
          </cell>
          <cell r="I159">
            <v>24.349999999999998</v>
          </cell>
        </row>
        <row r="160">
          <cell r="E160">
            <v>175</v>
          </cell>
          <cell r="F160" t="str">
            <v>Training Expenses</v>
          </cell>
          <cell r="G160">
            <v>0.21000000000000002</v>
          </cell>
          <cell r="I160">
            <v>0.21000000000000002</v>
          </cell>
        </row>
        <row r="161">
          <cell r="E161">
            <v>176</v>
          </cell>
          <cell r="F161" t="str">
            <v>Printing  &amp; Stationery</v>
          </cell>
          <cell r="G161">
            <v>9.98</v>
          </cell>
          <cell r="I161">
            <v>9.98</v>
          </cell>
        </row>
        <row r="162">
          <cell r="E162">
            <v>177</v>
          </cell>
          <cell r="F162" t="str">
            <v>Advertisement</v>
          </cell>
          <cell r="G162">
            <v>1.43</v>
          </cell>
          <cell r="I162">
            <v>1.43</v>
          </cell>
        </row>
        <row r="163">
          <cell r="E163">
            <v>169</v>
          </cell>
          <cell r="F163" t="str">
            <v>Consultancy Charges</v>
          </cell>
          <cell r="G163">
            <v>6.07</v>
          </cell>
          <cell r="I163">
            <v>6.07</v>
          </cell>
        </row>
        <row r="164">
          <cell r="E164">
            <v>178</v>
          </cell>
          <cell r="F164" t="str">
            <v>Electricity Charges</v>
          </cell>
          <cell r="G164">
            <v>8.82</v>
          </cell>
          <cell r="I164">
            <v>8.82</v>
          </cell>
        </row>
        <row r="165">
          <cell r="E165">
            <v>179</v>
          </cell>
          <cell r="F165" t="str">
            <v>Traveling Expenses</v>
          </cell>
          <cell r="G165">
            <v>25.68</v>
          </cell>
          <cell r="I165">
            <v>25.68</v>
          </cell>
        </row>
        <row r="166">
          <cell r="E166">
            <v>230</v>
          </cell>
          <cell r="F166" t="str">
            <v>OFFICE MAINTENANCE TEA SNACKS</v>
          </cell>
          <cell r="G166">
            <v>1.99</v>
          </cell>
          <cell r="I166">
            <v>1.99</v>
          </cell>
        </row>
        <row r="167">
          <cell r="E167">
            <v>180</v>
          </cell>
          <cell r="F167" t="str">
            <v>Less: Administration &amp; General Capitalised</v>
          </cell>
          <cell r="G167">
            <v>-18.07</v>
          </cell>
          <cell r="I167">
            <v>-18.07</v>
          </cell>
        </row>
        <row r="168">
          <cell r="E168">
            <v>219</v>
          </cell>
          <cell r="F168" t="str">
            <v>Vidyut Ombudsman Exp</v>
          </cell>
          <cell r="G168">
            <v>0.95</v>
          </cell>
          <cell r="I168">
            <v>0.95</v>
          </cell>
        </row>
        <row r="169">
          <cell r="E169">
            <v>231</v>
          </cell>
          <cell r="F169" t="str">
            <v>OFFICE MAINTENANCE OTHER EXP</v>
          </cell>
          <cell r="G169">
            <v>3.75</v>
          </cell>
          <cell r="I169">
            <v>3.75</v>
          </cell>
        </row>
        <row r="170">
          <cell r="E170">
            <v>233</v>
          </cell>
          <cell r="F170" t="str">
            <v>OFFICE MAINTENTANCE CLEANING EXP</v>
          </cell>
          <cell r="G170">
            <v>0.86</v>
          </cell>
          <cell r="I170">
            <v>0.86</v>
          </cell>
        </row>
        <row r="171">
          <cell r="E171">
            <v>181</v>
          </cell>
          <cell r="F171" t="str">
            <v>Interest on Long Term Loans</v>
          </cell>
          <cell r="G171">
            <v>447.65000000000003</v>
          </cell>
          <cell r="I171">
            <v>447.65000000000003</v>
          </cell>
        </row>
        <row r="172">
          <cell r="E172">
            <v>182</v>
          </cell>
          <cell r="F172" t="str">
            <v>Consumption Deposits</v>
          </cell>
          <cell r="G172">
            <v>312.14999999999998</v>
          </cell>
          <cell r="I172">
            <v>312.14999999999998</v>
          </cell>
        </row>
        <row r="173">
          <cell r="E173">
            <v>183</v>
          </cell>
          <cell r="F173" t="str">
            <v>FRP BONDS</v>
          </cell>
          <cell r="G173">
            <v>152.83000000000001</v>
          </cell>
          <cell r="I173">
            <v>152.83000000000001</v>
          </cell>
        </row>
        <row r="174">
          <cell r="E174">
            <v>184</v>
          </cell>
          <cell r="F174" t="str">
            <v>Bank Charges</v>
          </cell>
          <cell r="G174">
            <v>120.5</v>
          </cell>
          <cell r="I174">
            <v>120.5</v>
          </cell>
        </row>
        <row r="175">
          <cell r="E175">
            <v>185</v>
          </cell>
          <cell r="F175" t="str">
            <v>Less: Interest and Finance Charges Capitalised</v>
          </cell>
          <cell r="G175">
            <v>-15.33</v>
          </cell>
          <cell r="I175">
            <v>-15.33</v>
          </cell>
        </row>
        <row r="176">
          <cell r="E176">
            <v>206</v>
          </cell>
          <cell r="F176" t="str">
            <v>Interest on Short Term Loans</v>
          </cell>
          <cell r="G176">
            <v>2189.94</v>
          </cell>
          <cell r="I176">
            <v>2189.94</v>
          </cell>
        </row>
        <row r="177">
          <cell r="E177">
            <v>232</v>
          </cell>
          <cell r="F177" t="str">
            <v>Interest on Others</v>
          </cell>
          <cell r="G177">
            <v>100.41</v>
          </cell>
          <cell r="I177">
            <v>100.41</v>
          </cell>
        </row>
        <row r="178">
          <cell r="E178">
            <v>186</v>
          </cell>
          <cell r="F178" t="str">
            <v>Assets Scrapped</v>
          </cell>
          <cell r="G178">
            <v>2.85</v>
          </cell>
          <cell r="I178">
            <v>2.85</v>
          </cell>
        </row>
        <row r="179">
          <cell r="E179">
            <v>187</v>
          </cell>
          <cell r="F179" t="str">
            <v>Bad Debts Written Off</v>
          </cell>
          <cell r="G179">
            <v>0</v>
          </cell>
          <cell r="I179">
            <v>0</v>
          </cell>
        </row>
        <row r="180">
          <cell r="E180">
            <v>201</v>
          </cell>
          <cell r="F180" t="str">
            <v>Bad Debts Written Off Others</v>
          </cell>
          <cell r="G180">
            <v>160.19</v>
          </cell>
          <cell r="I180">
            <v>160.19</v>
          </cell>
        </row>
        <row r="181">
          <cell r="E181">
            <v>188</v>
          </cell>
          <cell r="F181" t="str">
            <v>Compensation</v>
          </cell>
          <cell r="G181">
            <v>20.2</v>
          </cell>
          <cell r="I181">
            <v>20.2</v>
          </cell>
        </row>
        <row r="182">
          <cell r="E182">
            <v>189</v>
          </cell>
          <cell r="F182" t="str">
            <v>Others</v>
          </cell>
          <cell r="G182">
            <v>-45.15</v>
          </cell>
          <cell r="I182">
            <v>-45.15</v>
          </cell>
        </row>
        <row r="183">
          <cell r="E183">
            <v>190</v>
          </cell>
          <cell r="F183" t="str">
            <v>Price Variation</v>
          </cell>
          <cell r="G183">
            <v>-0.16999999999999998</v>
          </cell>
          <cell r="I183">
            <v>-0.16999999999999998</v>
          </cell>
        </row>
        <row r="184">
          <cell r="E184">
            <v>195</v>
          </cell>
          <cell r="F184" t="str">
            <v>Deprcn  Property Plant and Equipment</v>
          </cell>
          <cell r="G184">
            <v>837.48</v>
          </cell>
          <cell r="I184">
            <v>837.48</v>
          </cell>
        </row>
        <row r="185">
          <cell r="E185">
            <v>196</v>
          </cell>
          <cell r="F185" t="str">
            <v>Amortization of Intangible Assets-Exp</v>
          </cell>
          <cell r="G185">
            <v>4.6500000000000004</v>
          </cell>
          <cell r="I185">
            <v>4.6500000000000004</v>
          </cell>
        </row>
        <row r="186">
          <cell r="E186">
            <v>199</v>
          </cell>
          <cell r="F186" t="str">
            <v>Deferred Tax</v>
          </cell>
          <cell r="G186">
            <v>-129.66999999999999</v>
          </cell>
          <cell r="I186">
            <v>-129.66999999999999</v>
          </cell>
        </row>
        <row r="187">
          <cell r="E187" t="str">
            <v/>
          </cell>
          <cell r="I187">
            <v>0</v>
          </cell>
        </row>
        <row r="188">
          <cell r="G188">
            <v>4.7975845518521965E-11</v>
          </cell>
          <cell r="I188">
            <v>4.3200998334214091E-11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to Accounts"/>
      <sheetName val="Line Items"/>
      <sheetName val="COA Templet"/>
      <sheetName val="Report"/>
      <sheetName val="Data Validation"/>
      <sheetName val="BS"/>
      <sheetName val="P &amp; L"/>
      <sheetName val="Cash Flow"/>
      <sheetName val="Main Notes"/>
      <sheetName val="Ratios Workings"/>
      <sheetName val="Note 11 Fixed Assests "/>
      <sheetName val="Ageing of CWIP"/>
      <sheetName val="Note 12 Non Current Investments"/>
      <sheetName val="17 Ageing of Trade Receivables"/>
      <sheetName val="29. Ratios"/>
      <sheetName val="30. KMP"/>
      <sheetName val="TP SUMMARY"/>
      <sheetName val="Trade Payable Ageing"/>
      <sheetName val="DTA DISCLOSURE SHEET"/>
      <sheetName val="DTA DTL Calculation"/>
      <sheetName val="JE"/>
      <sheetName val="MSME VENDORS"/>
      <sheetName val="TOTAL TRADE PAYABLE 2020-21"/>
      <sheetName val="ICD LINE ITEM WISE"/>
      <sheetName val="ICD SUMMARY"/>
      <sheetName val="DEP AS PER IT ACT "/>
      <sheetName val="UNABSORBED DEP"/>
      <sheetName val="CC ASSETS"/>
      <sheetName val="CC ASSET GRANTS"/>
    </sheetNames>
    <sheetDataSet>
      <sheetData sheetId="0" refreshError="1"/>
      <sheetData sheetId="1" refreshError="1"/>
      <sheetData sheetId="2" refreshError="1"/>
      <sheetData sheetId="3">
        <row r="5">
          <cell r="E5">
            <v>1</v>
          </cell>
          <cell r="F5" t="str">
            <v>728479609 Equity shares of Rs 10/ each fully paid up</v>
          </cell>
          <cell r="G5">
            <v>-12017.93</v>
          </cell>
          <cell r="I5">
            <v>-12017.93</v>
          </cell>
        </row>
        <row r="6">
          <cell r="E6">
            <v>2</v>
          </cell>
          <cell r="F6" t="str">
            <v>Consumers Contribution</v>
          </cell>
          <cell r="G6">
            <v>-7562.21</v>
          </cell>
          <cell r="I6">
            <v>-7562.21</v>
          </cell>
        </row>
        <row r="7">
          <cell r="E7">
            <v>3</v>
          </cell>
          <cell r="F7" t="str">
            <v>Subsidies towards Cost of Capital Assets</v>
          </cell>
          <cell r="G7">
            <v>-73.28</v>
          </cell>
          <cell r="I7">
            <v>-73.28</v>
          </cell>
        </row>
        <row r="8">
          <cell r="E8">
            <v>4</v>
          </cell>
          <cell r="F8" t="str">
            <v>Grants/Donations towards Cost of Caital Assets</v>
          </cell>
          <cell r="G8">
            <v>-1324.5300000000002</v>
          </cell>
          <cell r="I8">
            <v>-1324.5300000000002</v>
          </cell>
        </row>
        <row r="9">
          <cell r="E9">
            <v>5</v>
          </cell>
          <cell r="F9" t="str">
            <v xml:space="preserve">Less:Withdrawl towards cost of Capital Assets </v>
          </cell>
          <cell r="G9">
            <v>3673.09</v>
          </cell>
          <cell r="I9">
            <v>3673.09</v>
          </cell>
        </row>
        <row r="10">
          <cell r="E10">
            <v>6</v>
          </cell>
          <cell r="F10" t="str">
            <v>Statutory Reserves</v>
          </cell>
          <cell r="G10">
            <v>-64.239999999999995</v>
          </cell>
          <cell r="I10">
            <v>-64.239999999999995</v>
          </cell>
        </row>
        <row r="11">
          <cell r="E11">
            <v>7</v>
          </cell>
          <cell r="F11" t="str">
            <v>GIS Insurance &amp; Saving Fund</v>
          </cell>
          <cell r="G11">
            <v>-6.06</v>
          </cell>
          <cell r="I11">
            <v>-6.06</v>
          </cell>
        </row>
        <row r="12">
          <cell r="E12">
            <v>205</v>
          </cell>
          <cell r="F12" t="str">
            <v>Self funding Medical</v>
          </cell>
          <cell r="G12">
            <v>-3.7199999999999989</v>
          </cell>
          <cell r="I12">
            <v>-3.7199999999999989</v>
          </cell>
        </row>
        <row r="13">
          <cell r="E13">
            <v>8</v>
          </cell>
          <cell r="F13" t="str">
            <v>Surplus</v>
          </cell>
          <cell r="G13">
            <v>34182.019999999997</v>
          </cell>
          <cell r="I13">
            <v>34182.019999999997</v>
          </cell>
        </row>
        <row r="14">
          <cell r="E14">
            <v>217</v>
          </cell>
          <cell r="F14" t="str">
            <v>Capital Reserve</v>
          </cell>
          <cell r="G14">
            <v>-723.01</v>
          </cell>
          <cell r="I14">
            <v>-723.01</v>
          </cell>
        </row>
        <row r="15">
          <cell r="E15">
            <v>10</v>
          </cell>
          <cell r="F15" t="str">
            <v>Term Loans from  Banks</v>
          </cell>
          <cell r="G15">
            <v>-2593.9899999999998</v>
          </cell>
          <cell r="I15">
            <v>-2593.9899999999998</v>
          </cell>
        </row>
        <row r="16">
          <cell r="E16">
            <v>11</v>
          </cell>
          <cell r="F16" t="str">
            <v>Term Loans from Other Parties</v>
          </cell>
          <cell r="G16">
            <v>-17454.43</v>
          </cell>
          <cell r="I16">
            <v>-17454.43</v>
          </cell>
        </row>
        <row r="17">
          <cell r="E17">
            <v>214</v>
          </cell>
          <cell r="F17" t="str">
            <v>Term Loans on FRP Scheme</v>
          </cell>
          <cell r="G17">
            <v>-23.12</v>
          </cell>
          <cell r="I17">
            <v>-23.12</v>
          </cell>
        </row>
        <row r="18">
          <cell r="E18">
            <v>13</v>
          </cell>
          <cell r="F18" t="str">
            <v>Loan from GOAP</v>
          </cell>
          <cell r="G18">
            <v>-20.56</v>
          </cell>
          <cell r="I18">
            <v>-20.56</v>
          </cell>
        </row>
        <row r="19">
          <cell r="E19">
            <v>213</v>
          </cell>
          <cell r="F19" t="str">
            <v>Bonds under FRP Scheme</v>
          </cell>
          <cell r="G19">
            <v>-2024.65</v>
          </cell>
          <cell r="I19">
            <v>-2024.65</v>
          </cell>
        </row>
        <row r="20">
          <cell r="E20">
            <v>15</v>
          </cell>
          <cell r="F20" t="str">
            <v>Vendor Deposits</v>
          </cell>
          <cell r="G20">
            <v>-148.39000000000001</v>
          </cell>
          <cell r="I20">
            <v>-148.39000000000001</v>
          </cell>
        </row>
        <row r="21">
          <cell r="E21">
            <v>16</v>
          </cell>
          <cell r="F21" t="str">
            <v>Contribution Works</v>
          </cell>
          <cell r="G21">
            <v>-32.199999999999996</v>
          </cell>
          <cell r="I21">
            <v>-32.199999999999996</v>
          </cell>
        </row>
        <row r="22">
          <cell r="E22">
            <v>18</v>
          </cell>
          <cell r="F22" t="str">
            <v>Other Liabilities</v>
          </cell>
          <cell r="G22">
            <v>-133.19999999999999</v>
          </cell>
          <cell r="I22">
            <v>-133.19999999999999</v>
          </cell>
        </row>
        <row r="23">
          <cell r="E23">
            <v>237</v>
          </cell>
          <cell r="F23" t="str">
            <v>Accidental Risk-SFS</v>
          </cell>
          <cell r="G23">
            <v>-0.31</v>
          </cell>
          <cell r="I23">
            <v>-0.31</v>
          </cell>
        </row>
        <row r="24">
          <cell r="E24">
            <v>19</v>
          </cell>
          <cell r="F24" t="str">
            <v>Gratuiuty</v>
          </cell>
          <cell r="G24">
            <v>-419.89</v>
          </cell>
          <cell r="I24">
            <v>-419.89</v>
          </cell>
        </row>
        <row r="25">
          <cell r="E25">
            <v>20</v>
          </cell>
          <cell r="F25" t="str">
            <v>Leave Encashment</v>
          </cell>
          <cell r="G25">
            <v>-1387.06</v>
          </cell>
          <cell r="I25">
            <v>-1387.06</v>
          </cell>
        </row>
        <row r="26">
          <cell r="E26">
            <v>36</v>
          </cell>
          <cell r="F26" t="str">
            <v>APCPDCL Pension &amp; Gratuity Trust</v>
          </cell>
          <cell r="G26">
            <v>-292.02999999999997</v>
          </cell>
          <cell r="I26">
            <v>-292.02999999999997</v>
          </cell>
        </row>
        <row r="27">
          <cell r="E27">
            <v>239</v>
          </cell>
          <cell r="F27" t="str">
            <v>Medical Expenses (PRMS)</v>
          </cell>
          <cell r="G27">
            <v>-392.68</v>
          </cell>
          <cell r="I27">
            <v>-392.68</v>
          </cell>
        </row>
        <row r="28">
          <cell r="E28">
            <v>21</v>
          </cell>
          <cell r="F28" t="str">
            <v>From Banks</v>
          </cell>
          <cell r="G28">
            <v>0</v>
          </cell>
          <cell r="I28">
            <v>0</v>
          </cell>
        </row>
        <row r="29">
          <cell r="E29">
            <v>24</v>
          </cell>
          <cell r="F29" t="str">
            <v>Other Discoms</v>
          </cell>
          <cell r="G29">
            <v>-28279.819999999996</v>
          </cell>
          <cell r="I29">
            <v>-28279.819999999996</v>
          </cell>
        </row>
        <row r="30">
          <cell r="E30">
            <v>28</v>
          </cell>
          <cell r="F30" t="str">
            <v>Other Payables</v>
          </cell>
          <cell r="G30">
            <v>-1759.7399999999996</v>
          </cell>
          <cell r="I30">
            <v>-1759.7399999999996</v>
          </cell>
        </row>
        <row r="31">
          <cell r="E31">
            <v>29</v>
          </cell>
          <cell r="F31" t="str">
            <v>Employee Related Liabilities</v>
          </cell>
          <cell r="G31">
            <v>-168.19999999999993</v>
          </cell>
          <cell r="I31">
            <v>-168.19999999999993</v>
          </cell>
        </row>
        <row r="32">
          <cell r="E32">
            <v>30</v>
          </cell>
          <cell r="F32" t="str">
            <v>Statutory Liability</v>
          </cell>
          <cell r="G32">
            <v>249.02999999999997</v>
          </cell>
          <cell r="I32">
            <v>249.02999999999997</v>
          </cell>
        </row>
        <row r="33">
          <cell r="E33">
            <v>31</v>
          </cell>
          <cell r="F33" t="str">
            <v>Advance from Customers</v>
          </cell>
          <cell r="G33">
            <v>-149.65</v>
          </cell>
          <cell r="I33">
            <v>-149.65</v>
          </cell>
        </row>
        <row r="34">
          <cell r="E34">
            <v>32</v>
          </cell>
          <cell r="F34" t="str">
            <v>Consumer Deposits</v>
          </cell>
          <cell r="G34">
            <v>-4580.59</v>
          </cell>
          <cell r="I34">
            <v>-4580.59</v>
          </cell>
        </row>
        <row r="35">
          <cell r="E35">
            <v>33</v>
          </cell>
          <cell r="F35" t="str">
            <v>Govt. of AP SC/ST Payables</v>
          </cell>
          <cell r="G35">
            <v>-3.47</v>
          </cell>
          <cell r="I35">
            <v>-3.47</v>
          </cell>
        </row>
        <row r="36">
          <cell r="E36">
            <v>34</v>
          </cell>
          <cell r="F36" t="str">
            <v>Inter Unit Accounts</v>
          </cell>
          <cell r="G36">
            <v>-114.17</v>
          </cell>
          <cell r="I36">
            <v>-114.17</v>
          </cell>
        </row>
        <row r="37">
          <cell r="E37">
            <v>35</v>
          </cell>
          <cell r="F37" t="str">
            <v>Interest Payable to Consumers</v>
          </cell>
          <cell r="G37">
            <v>-230.41</v>
          </cell>
          <cell r="I37">
            <v>-230.41</v>
          </cell>
        </row>
        <row r="38">
          <cell r="E38">
            <v>37</v>
          </cell>
          <cell r="F38" t="str">
            <v>APCPDCL GPF Tust</v>
          </cell>
          <cell r="G38">
            <v>0</v>
          </cell>
          <cell r="I38">
            <v>0</v>
          </cell>
        </row>
        <row r="39">
          <cell r="E39">
            <v>39</v>
          </cell>
          <cell r="F39" t="str">
            <v>Other Liabilities</v>
          </cell>
          <cell r="G39">
            <v>-511.31999999999994</v>
          </cell>
          <cell r="I39">
            <v>-511.31999999999994</v>
          </cell>
        </row>
        <row r="40">
          <cell r="E40">
            <v>223</v>
          </cell>
          <cell r="F40" t="str">
            <v>ARTISAN PAYABLE</v>
          </cell>
          <cell r="G40">
            <v>-27.6</v>
          </cell>
          <cell r="I40">
            <v>-27.6</v>
          </cell>
        </row>
        <row r="41">
          <cell r="E41">
            <v>224</v>
          </cell>
          <cell r="F41" t="str">
            <v>GST OUTPUT TAX LIABILITIES</v>
          </cell>
          <cell r="G41">
            <v>-8.41</v>
          </cell>
          <cell r="I41">
            <v>-8.41</v>
          </cell>
        </row>
        <row r="42">
          <cell r="E42">
            <v>229</v>
          </cell>
          <cell r="F42" t="str">
            <v>Interest payable on FRP Bonds</v>
          </cell>
          <cell r="G42">
            <v>-656.28</v>
          </cell>
          <cell r="I42">
            <v>-656.28</v>
          </cell>
        </row>
        <row r="43">
          <cell r="E43">
            <v>40</v>
          </cell>
          <cell r="F43" t="str">
            <v>Provision for Employee Cost</v>
          </cell>
          <cell r="G43">
            <v>-398.73</v>
          </cell>
          <cell r="I43">
            <v>-398.73</v>
          </cell>
        </row>
        <row r="44">
          <cell r="E44">
            <v>41</v>
          </cell>
          <cell r="F44" t="str">
            <v>RPF Fund</v>
          </cell>
          <cell r="G44">
            <v>-0.01</v>
          </cell>
          <cell r="I44">
            <v>-0.01</v>
          </cell>
        </row>
        <row r="45">
          <cell r="E45">
            <v>42</v>
          </cell>
          <cell r="F45" t="str">
            <v>Provision for Adminsitration Expenses</v>
          </cell>
          <cell r="G45">
            <v>-11.86</v>
          </cell>
          <cell r="I45">
            <v>-11.86</v>
          </cell>
        </row>
        <row r="46">
          <cell r="E46">
            <v>44</v>
          </cell>
          <cell r="F46" t="str">
            <v>Provision for CWIP</v>
          </cell>
          <cell r="G46">
            <v>-1.59</v>
          </cell>
          <cell r="I46">
            <v>-1.59</v>
          </cell>
        </row>
        <row r="47">
          <cell r="E47">
            <v>45</v>
          </cell>
          <cell r="F47" t="str">
            <v>Provision for Interest</v>
          </cell>
          <cell r="G47">
            <v>-370.77</v>
          </cell>
          <cell r="I47">
            <v>-370.77</v>
          </cell>
        </row>
        <row r="48">
          <cell r="E48">
            <v>46</v>
          </cell>
          <cell r="F48" t="str">
            <v>Provision for O &amp; M Works</v>
          </cell>
          <cell r="G48">
            <v>-1.24</v>
          </cell>
          <cell r="I48">
            <v>-1.24</v>
          </cell>
        </row>
        <row r="49">
          <cell r="E49">
            <v>48</v>
          </cell>
          <cell r="F49" t="str">
            <v>Provision for Income Tax</v>
          </cell>
          <cell r="G49">
            <v>0</v>
          </cell>
          <cell r="I49">
            <v>0</v>
          </cell>
        </row>
        <row r="50">
          <cell r="E50">
            <v>215</v>
          </cell>
          <cell r="F50" t="str">
            <v>Provision for R &amp; C Penalties</v>
          </cell>
          <cell r="G50">
            <v>-0.1</v>
          </cell>
          <cell r="I50">
            <v>-0.1</v>
          </cell>
        </row>
        <row r="51">
          <cell r="E51">
            <v>238</v>
          </cell>
          <cell r="F51" t="str">
            <v>Provision for Power Purchase Cost</v>
          </cell>
          <cell r="G51">
            <v>-1794.32</v>
          </cell>
          <cell r="I51">
            <v>-1794.32</v>
          </cell>
        </row>
        <row r="52">
          <cell r="E52">
            <v>49</v>
          </cell>
          <cell r="F52" t="str">
            <v>Land and Land rights</v>
          </cell>
          <cell r="G52">
            <v>8.64</v>
          </cell>
          <cell r="I52">
            <v>8.64</v>
          </cell>
        </row>
        <row r="53">
          <cell r="E53">
            <v>50</v>
          </cell>
          <cell r="F53" t="str">
            <v>Buildings</v>
          </cell>
          <cell r="G53">
            <v>374.22</v>
          </cell>
          <cell r="I53">
            <v>374.22</v>
          </cell>
        </row>
        <row r="54">
          <cell r="E54">
            <v>51</v>
          </cell>
          <cell r="F54" t="str">
            <v>Other Civil Works</v>
          </cell>
          <cell r="G54">
            <v>221.08</v>
          </cell>
          <cell r="I54">
            <v>221.08</v>
          </cell>
        </row>
        <row r="55">
          <cell r="E55">
            <v>52</v>
          </cell>
          <cell r="F55" t="str">
            <v>Plant and Machinery</v>
          </cell>
          <cell r="G55">
            <v>8986.880000000001</v>
          </cell>
          <cell r="I55">
            <v>8986.880000000001</v>
          </cell>
        </row>
        <row r="56">
          <cell r="E56">
            <v>53</v>
          </cell>
          <cell r="F56" t="str">
            <v>Lines and Cable Network</v>
          </cell>
          <cell r="G56">
            <v>8680.09</v>
          </cell>
          <cell r="I56">
            <v>8680.09</v>
          </cell>
        </row>
        <row r="57">
          <cell r="E57">
            <v>54</v>
          </cell>
          <cell r="F57" t="str">
            <v>Meters &amp; Metering Equipment</v>
          </cell>
          <cell r="G57">
            <v>1827.32</v>
          </cell>
          <cell r="I57">
            <v>1827.32</v>
          </cell>
        </row>
        <row r="58">
          <cell r="E58">
            <v>55</v>
          </cell>
          <cell r="F58" t="str">
            <v>Vehicles</v>
          </cell>
          <cell r="G58">
            <v>7.08</v>
          </cell>
          <cell r="I58">
            <v>7.08</v>
          </cell>
        </row>
        <row r="59">
          <cell r="E59">
            <v>56</v>
          </cell>
          <cell r="F59" t="str">
            <v>Furniture and Fixtures</v>
          </cell>
          <cell r="G59">
            <v>17.25</v>
          </cell>
          <cell r="I59">
            <v>17.25</v>
          </cell>
        </row>
        <row r="60">
          <cell r="E60">
            <v>57</v>
          </cell>
          <cell r="F60" t="str">
            <v>Office Equipment</v>
          </cell>
          <cell r="G60">
            <v>51.37</v>
          </cell>
          <cell r="I60">
            <v>51.37</v>
          </cell>
        </row>
        <row r="61">
          <cell r="E61">
            <v>58</v>
          </cell>
          <cell r="F61" t="str">
            <v>Air Conditioners</v>
          </cell>
          <cell r="G61">
            <v>2.6</v>
          </cell>
          <cell r="I61">
            <v>2.6</v>
          </cell>
        </row>
        <row r="62">
          <cell r="E62">
            <v>59</v>
          </cell>
          <cell r="F62" t="str">
            <v>Computer &amp; IT Equipment</v>
          </cell>
          <cell r="G62">
            <v>185.56</v>
          </cell>
          <cell r="I62">
            <v>185.56</v>
          </cell>
        </row>
        <row r="63">
          <cell r="E63">
            <v>61</v>
          </cell>
          <cell r="F63" t="str">
            <v>Computer Software</v>
          </cell>
          <cell r="G63">
            <v>70.8</v>
          </cell>
          <cell r="I63">
            <v>70.8</v>
          </cell>
        </row>
        <row r="64">
          <cell r="E64">
            <v>67</v>
          </cell>
          <cell r="F64" t="str">
            <v>Buildings</v>
          </cell>
          <cell r="G64">
            <v>-118.9</v>
          </cell>
          <cell r="I64">
            <v>-118.9</v>
          </cell>
        </row>
        <row r="65">
          <cell r="E65">
            <v>68</v>
          </cell>
          <cell r="F65" t="str">
            <v>Other Civil Works</v>
          </cell>
          <cell r="G65">
            <v>-44.42</v>
          </cell>
          <cell r="I65">
            <v>-44.42</v>
          </cell>
        </row>
        <row r="66">
          <cell r="E66">
            <v>69</v>
          </cell>
          <cell r="F66" t="str">
            <v>Plant and Machinery</v>
          </cell>
          <cell r="G66">
            <v>-4735.26</v>
          </cell>
          <cell r="I66">
            <v>-4735.26</v>
          </cell>
        </row>
        <row r="67">
          <cell r="E67">
            <v>70</v>
          </cell>
          <cell r="F67" t="str">
            <v>Lines and Cable Network</v>
          </cell>
          <cell r="G67">
            <v>-4126.13</v>
          </cell>
          <cell r="I67">
            <v>-4126.13</v>
          </cell>
        </row>
        <row r="68">
          <cell r="E68">
            <v>71</v>
          </cell>
          <cell r="F68" t="str">
            <v>Meters &amp; Metering Equipment</v>
          </cell>
          <cell r="G68">
            <v>-1151.95</v>
          </cell>
          <cell r="I68">
            <v>-1151.95</v>
          </cell>
        </row>
        <row r="69">
          <cell r="E69">
            <v>72</v>
          </cell>
          <cell r="F69" t="str">
            <v>Vehicles</v>
          </cell>
          <cell r="G69">
            <v>-6.37</v>
          </cell>
          <cell r="I69">
            <v>-6.37</v>
          </cell>
        </row>
        <row r="70">
          <cell r="E70">
            <v>73</v>
          </cell>
          <cell r="F70" t="str">
            <v>Furniture and Fixtures</v>
          </cell>
          <cell r="G70">
            <v>-11.47</v>
          </cell>
          <cell r="I70">
            <v>-11.47</v>
          </cell>
        </row>
        <row r="71">
          <cell r="E71">
            <v>74</v>
          </cell>
          <cell r="F71" t="str">
            <v>Office Equipment</v>
          </cell>
          <cell r="G71">
            <v>-32.57</v>
          </cell>
          <cell r="I71">
            <v>-32.57</v>
          </cell>
        </row>
        <row r="72">
          <cell r="E72">
            <v>77</v>
          </cell>
          <cell r="F72" t="str">
            <v>Computer Software</v>
          </cell>
          <cell r="G72">
            <v>-49.11</v>
          </cell>
          <cell r="I72">
            <v>-49.11</v>
          </cell>
        </row>
        <row r="73">
          <cell r="E73">
            <v>81</v>
          </cell>
          <cell r="F73" t="str">
            <v>Capital work-in-progress</v>
          </cell>
          <cell r="G73">
            <v>1206.97</v>
          </cell>
          <cell r="I73">
            <v>1206.97</v>
          </cell>
        </row>
        <row r="74">
          <cell r="E74">
            <v>75</v>
          </cell>
          <cell r="F74" t="str">
            <v>Air Conditioners</v>
          </cell>
          <cell r="G74">
            <v>-1.71</v>
          </cell>
          <cell r="I74">
            <v>-1.71</v>
          </cell>
        </row>
        <row r="75">
          <cell r="E75">
            <v>76</v>
          </cell>
          <cell r="F75" t="str">
            <v>Computer &amp; IT Equipment</v>
          </cell>
          <cell r="G75">
            <v>-145.43</v>
          </cell>
          <cell r="I75">
            <v>-145.43</v>
          </cell>
        </row>
        <row r="76">
          <cell r="E76">
            <v>63</v>
          </cell>
          <cell r="F76" t="str">
            <v>Devolution</v>
          </cell>
          <cell r="G76">
            <v>0</v>
          </cell>
          <cell r="I76">
            <v>0</v>
          </cell>
        </row>
        <row r="77">
          <cell r="E77">
            <v>82</v>
          </cell>
          <cell r="F77" t="str">
            <v>Investment in APPDCL</v>
          </cell>
          <cell r="G77">
            <v>487.6</v>
          </cell>
          <cell r="I77">
            <v>487.6</v>
          </cell>
        </row>
        <row r="78">
          <cell r="E78">
            <v>91</v>
          </cell>
          <cell r="F78" t="str">
            <v>Deferred Tax Asset</v>
          </cell>
          <cell r="G78">
            <v>2532.1</v>
          </cell>
          <cell r="I78">
            <v>2532.1</v>
          </cell>
        </row>
        <row r="79">
          <cell r="E79">
            <v>92</v>
          </cell>
          <cell r="F79" t="str">
            <v>Deferred Tax Liability</v>
          </cell>
          <cell r="G79">
            <v>-885.88</v>
          </cell>
          <cell r="I79">
            <v>-885.88</v>
          </cell>
        </row>
        <row r="80">
          <cell r="E80">
            <v>94</v>
          </cell>
          <cell r="F80" t="str">
            <v>Loans and Advances to Employees</v>
          </cell>
          <cell r="G80">
            <v>31.14</v>
          </cell>
          <cell r="I80">
            <v>31.14</v>
          </cell>
        </row>
        <row r="81">
          <cell r="E81">
            <v>95</v>
          </cell>
          <cell r="F81" t="str">
            <v>Loans and Advances to Employees</v>
          </cell>
          <cell r="G81">
            <v>2.0100000000000002</v>
          </cell>
          <cell r="I81">
            <v>2.0100000000000002</v>
          </cell>
        </row>
        <row r="82">
          <cell r="E82">
            <v>96</v>
          </cell>
          <cell r="F82" t="str">
            <v>Deposits</v>
          </cell>
          <cell r="G82">
            <v>99.93</v>
          </cell>
          <cell r="I82">
            <v>99.93</v>
          </cell>
        </row>
        <row r="83">
          <cell r="E83">
            <v>97</v>
          </cell>
          <cell r="F83" t="str">
            <v>Capital Advances</v>
          </cell>
          <cell r="G83">
            <v>121.73</v>
          </cell>
          <cell r="I83">
            <v>121.73</v>
          </cell>
        </row>
        <row r="84">
          <cell r="E84">
            <v>98</v>
          </cell>
          <cell r="F84" t="str">
            <v>Long Term Receivables from Employees</v>
          </cell>
          <cell r="G84">
            <v>4.6100000000000003</v>
          </cell>
          <cell r="I84">
            <v>4.6100000000000003</v>
          </cell>
        </row>
        <row r="85">
          <cell r="E85">
            <v>99</v>
          </cell>
          <cell r="F85" t="str">
            <v>Receivable from ITI, Chennai</v>
          </cell>
          <cell r="G85">
            <v>0.49</v>
          </cell>
          <cell r="I85">
            <v>0.49</v>
          </cell>
        </row>
        <row r="86">
          <cell r="E86">
            <v>100</v>
          </cell>
          <cell r="F86" t="str">
            <v>a) Stores and Spares (Valued at Cost/NRV whichever is less)</v>
          </cell>
          <cell r="G86">
            <v>232.68</v>
          </cell>
          <cell r="I86">
            <v>232.68</v>
          </cell>
        </row>
        <row r="87">
          <cell r="E87">
            <v>102</v>
          </cell>
          <cell r="F87" t="str">
            <v>Less: Provision for Recovery/Write Off of Cost of Materials</v>
          </cell>
          <cell r="G87">
            <v>-4.6399999999999997</v>
          </cell>
          <cell r="I87">
            <v>-4.6399999999999997</v>
          </cell>
        </row>
        <row r="88">
          <cell r="E88">
            <v>103</v>
          </cell>
          <cell r="F88" t="str">
            <v xml:space="preserve">Secured, Considered Good </v>
          </cell>
          <cell r="G88">
            <v>16636.12</v>
          </cell>
          <cell r="I88">
            <v>16636.12</v>
          </cell>
        </row>
        <row r="89">
          <cell r="E89">
            <v>104</v>
          </cell>
          <cell r="F89" t="str">
            <v>Unsecured, Considered Good</v>
          </cell>
          <cell r="G89">
            <v>0.22</v>
          </cell>
          <cell r="I89">
            <v>0.22</v>
          </cell>
        </row>
        <row r="90">
          <cell r="E90">
            <v>106</v>
          </cell>
          <cell r="F90" t="str">
            <v>Less: Provision for Doubtful Debts</v>
          </cell>
          <cell r="G90">
            <v>-566.23</v>
          </cell>
          <cell r="I90">
            <v>-566.23</v>
          </cell>
        </row>
        <row r="91">
          <cell r="E91">
            <v>202</v>
          </cell>
          <cell r="F91" t="str">
            <v>Less: Prov.Dubtful Dts-FSA</v>
          </cell>
          <cell r="G91">
            <v>-26.02</v>
          </cell>
          <cell r="I91">
            <v>-26.02</v>
          </cell>
        </row>
        <row r="92">
          <cell r="E92">
            <v>107</v>
          </cell>
          <cell r="F92" t="str">
            <v>In Current Accounts</v>
          </cell>
          <cell r="G92">
            <v>12.890000000001454</v>
          </cell>
          <cell r="I92">
            <v>12.890000000001454</v>
          </cell>
        </row>
        <row r="93">
          <cell r="E93">
            <v>108</v>
          </cell>
          <cell r="F93" t="str">
            <v>Remittance in Transit</v>
          </cell>
          <cell r="G93">
            <v>-3.380000000000007</v>
          </cell>
          <cell r="I93">
            <v>-3.380000000000007</v>
          </cell>
        </row>
        <row r="94">
          <cell r="E94">
            <v>109</v>
          </cell>
          <cell r="F94" t="str">
            <v>In Deposits with Original Maturity less than 3 months</v>
          </cell>
          <cell r="G94">
            <v>97.45</v>
          </cell>
          <cell r="I94">
            <v>97.45</v>
          </cell>
        </row>
        <row r="95">
          <cell r="E95">
            <v>111</v>
          </cell>
          <cell r="F95" t="str">
            <v>Cash on Hand</v>
          </cell>
          <cell r="G95">
            <v>25.250000000000007</v>
          </cell>
          <cell r="I95">
            <v>25.250000000000007</v>
          </cell>
        </row>
        <row r="96">
          <cell r="E96">
            <v>113</v>
          </cell>
          <cell r="F96" t="str">
            <v>Receivables from Employees</v>
          </cell>
          <cell r="G96">
            <v>0.04</v>
          </cell>
          <cell r="I96">
            <v>0.04</v>
          </cell>
        </row>
        <row r="97">
          <cell r="E97">
            <v>114</v>
          </cell>
          <cell r="F97" t="str">
            <v>Loans and Advances to Employees</v>
          </cell>
          <cell r="G97">
            <v>5.6999999999999993</v>
          </cell>
          <cell r="I97">
            <v>5.6999999999999993</v>
          </cell>
        </row>
        <row r="98">
          <cell r="E98">
            <v>115</v>
          </cell>
          <cell r="F98" t="str">
            <v>Advance Tax (including TDS Receivable &amp; Refunds Receivable) (Net)</v>
          </cell>
          <cell r="G98">
            <v>20.79</v>
          </cell>
          <cell r="I98">
            <v>20.79</v>
          </cell>
        </row>
        <row r="99">
          <cell r="E99">
            <v>116</v>
          </cell>
          <cell r="F99" t="str">
            <v>Advance to Suppliers</v>
          </cell>
          <cell r="G99">
            <v>2.2999999999999998</v>
          </cell>
          <cell r="I99">
            <v>2.2999999999999998</v>
          </cell>
        </row>
        <row r="100">
          <cell r="E100">
            <v>117</v>
          </cell>
          <cell r="F100" t="str">
            <v>Government Receivables</v>
          </cell>
          <cell r="G100">
            <v>5286.41</v>
          </cell>
          <cell r="I100">
            <v>5286.41</v>
          </cell>
        </row>
        <row r="101">
          <cell r="E101">
            <v>118</v>
          </cell>
          <cell r="F101" t="str">
            <v>Other Loans &amp; Advances</v>
          </cell>
          <cell r="G101">
            <v>0.22</v>
          </cell>
          <cell r="I101">
            <v>0.22</v>
          </cell>
        </row>
        <row r="102">
          <cell r="E102">
            <v>211</v>
          </cell>
          <cell r="F102" t="str">
            <v>ProGovt. Rcbles-Adl</v>
          </cell>
          <cell r="G102">
            <v>-3877.87</v>
          </cell>
          <cell r="I102">
            <v>-3877.87</v>
          </cell>
        </row>
        <row r="103">
          <cell r="E103">
            <v>119</v>
          </cell>
          <cell r="F103" t="str">
            <v>Fixed Asset Retired From Active use and held for Disposal</v>
          </cell>
          <cell r="G103">
            <v>7.0000000000000007E-2</v>
          </cell>
          <cell r="I103">
            <v>7.0000000000000007E-2</v>
          </cell>
        </row>
        <row r="104">
          <cell r="E104">
            <v>120</v>
          </cell>
          <cell r="F104" t="str">
            <v>Interest Accrued on Fixed Deposits</v>
          </cell>
          <cell r="G104">
            <v>0</v>
          </cell>
          <cell r="I104">
            <v>0</v>
          </cell>
        </row>
        <row r="105">
          <cell r="E105">
            <v>121</v>
          </cell>
          <cell r="F105" t="str">
            <v>Interest Accrued on Investments</v>
          </cell>
          <cell r="G105">
            <v>3.86</v>
          </cell>
          <cell r="I105">
            <v>3.86</v>
          </cell>
        </row>
        <row r="106">
          <cell r="E106">
            <v>122</v>
          </cell>
          <cell r="F106" t="str">
            <v>Unbilled Revenue - Trade Receivables</v>
          </cell>
          <cell r="G106">
            <v>3090.49</v>
          </cell>
          <cell r="I106">
            <v>3090.49</v>
          </cell>
        </row>
        <row r="107">
          <cell r="E107">
            <v>123</v>
          </cell>
          <cell r="F107" t="str">
            <v xml:space="preserve">FSA Revenue - Receivables </v>
          </cell>
          <cell r="G107">
            <v>551.36</v>
          </cell>
          <cell r="I107">
            <v>551.36</v>
          </cell>
        </row>
        <row r="108">
          <cell r="E108">
            <v>124</v>
          </cell>
          <cell r="F108" t="str">
            <v>APSEE Master P &amp; G Trust</v>
          </cell>
          <cell r="G108">
            <v>77.599999999999994</v>
          </cell>
          <cell r="I108">
            <v>77.599999999999994</v>
          </cell>
        </row>
        <row r="109">
          <cell r="E109">
            <v>236</v>
          </cell>
          <cell r="F109" t="str">
            <v>GPF Trust</v>
          </cell>
          <cell r="G109">
            <v>-2.56</v>
          </cell>
          <cell r="I109">
            <v>-2.56</v>
          </cell>
        </row>
        <row r="110">
          <cell r="E110">
            <v>125</v>
          </cell>
          <cell r="F110" t="str">
            <v>Other Receivables</v>
          </cell>
          <cell r="G110">
            <v>110.39000000000001</v>
          </cell>
          <cell r="I110">
            <v>110.39000000000001</v>
          </cell>
        </row>
        <row r="111">
          <cell r="E111">
            <v>218</v>
          </cell>
          <cell r="F111" t="str">
            <v>Receivables on Demerger</v>
          </cell>
          <cell r="G111">
            <v>4230.74</v>
          </cell>
          <cell r="I111">
            <v>4230.74</v>
          </cell>
        </row>
        <row r="112">
          <cell r="E112">
            <v>234</v>
          </cell>
          <cell r="F112" t="str">
            <v>Receivable from Govt under UDAY for Losses</v>
          </cell>
          <cell r="G112">
            <v>0</v>
          </cell>
          <cell r="I112">
            <v>0</v>
          </cell>
        </row>
        <row r="113">
          <cell r="E113">
            <v>126</v>
          </cell>
          <cell r="F113" t="str">
            <v>LT Supply</v>
          </cell>
          <cell r="G113">
            <v>-10061.880000000005</v>
          </cell>
          <cell r="I113">
            <v>-10061.880000000005</v>
          </cell>
        </row>
        <row r="114">
          <cell r="E114">
            <v>127</v>
          </cell>
          <cell r="F114" t="str">
            <v>HT Supply</v>
          </cell>
          <cell r="G114">
            <v>-18143.859999999993</v>
          </cell>
          <cell r="I114">
            <v>-18143.859999999993</v>
          </cell>
        </row>
        <row r="115">
          <cell r="E115">
            <v>128</v>
          </cell>
          <cell r="F115" t="str">
            <v>Inter State Sale Of Power</v>
          </cell>
          <cell r="G115">
            <v>-1195.17</v>
          </cell>
          <cell r="I115">
            <v>-1195.17</v>
          </cell>
        </row>
        <row r="116">
          <cell r="E116">
            <v>129</v>
          </cell>
          <cell r="F116" t="str">
            <v>FSA</v>
          </cell>
          <cell r="G116">
            <v>-1.8900000000000001</v>
          </cell>
          <cell r="I116">
            <v>-1.8900000000000001</v>
          </cell>
        </row>
        <row r="117">
          <cell r="E117">
            <v>130</v>
          </cell>
          <cell r="F117" t="str">
            <v>Tariff Subsidy</v>
          </cell>
          <cell r="G117">
            <v>-1610.89</v>
          </cell>
          <cell r="I117">
            <v>-1610.89</v>
          </cell>
        </row>
        <row r="118">
          <cell r="E118">
            <v>235</v>
          </cell>
          <cell r="F118" t="str">
            <v>Receivable from Govt under UDAY for Losses</v>
          </cell>
          <cell r="G118">
            <v>-313</v>
          </cell>
          <cell r="I118">
            <v>-313</v>
          </cell>
        </row>
        <row r="119">
          <cell r="E119">
            <v>132</v>
          </cell>
          <cell r="F119" t="str">
            <v>Customer Charges</v>
          </cell>
          <cell r="G119">
            <v>-850.35999999999967</v>
          </cell>
          <cell r="I119">
            <v>-850.35999999999967</v>
          </cell>
        </row>
        <row r="120">
          <cell r="E120">
            <v>133</v>
          </cell>
          <cell r="F120" t="str">
            <v xml:space="preserve">Theft of Power </v>
          </cell>
          <cell r="G120">
            <v>-38.409999999999997</v>
          </cell>
          <cell r="I120">
            <v>-38.409999999999997</v>
          </cell>
        </row>
        <row r="121">
          <cell r="E121">
            <v>134</v>
          </cell>
          <cell r="F121" t="str">
            <v>DPS Income</v>
          </cell>
          <cell r="G121">
            <v>-1577.4099999999992</v>
          </cell>
          <cell r="I121">
            <v>-1577.4099999999992</v>
          </cell>
        </row>
        <row r="122">
          <cell r="E122">
            <v>135</v>
          </cell>
          <cell r="F122" t="str">
            <v>Other Operating Income</v>
          </cell>
          <cell r="G122">
            <v>-41.920000000000009</v>
          </cell>
          <cell r="I122">
            <v>-41.920000000000009</v>
          </cell>
        </row>
        <row r="123">
          <cell r="E123">
            <v>136</v>
          </cell>
          <cell r="F123" t="str">
            <v>Less: Electricity Duty</v>
          </cell>
          <cell r="G123">
            <v>205.95</v>
          </cell>
          <cell r="I123">
            <v>205.95</v>
          </cell>
        </row>
        <row r="124">
          <cell r="E124">
            <v>212</v>
          </cell>
          <cell r="F124" t="str">
            <v>R &amp; C Penalties</v>
          </cell>
          <cell r="G124">
            <v>-0.03</v>
          </cell>
          <cell r="I124">
            <v>-0.03</v>
          </cell>
        </row>
        <row r="125">
          <cell r="E125">
            <v>145</v>
          </cell>
          <cell r="F125" t="str">
            <v>Amortization of Consumer Contributions, Grants &amp; Subsidies</v>
          </cell>
          <cell r="G125">
            <v>-328.16</v>
          </cell>
          <cell r="I125">
            <v>-328.16</v>
          </cell>
        </row>
        <row r="126">
          <cell r="E126">
            <v>137</v>
          </cell>
          <cell r="F126" t="str">
            <v>Banks</v>
          </cell>
          <cell r="G126">
            <v>-7.88</v>
          </cell>
          <cell r="I126">
            <v>-7.88</v>
          </cell>
        </row>
        <row r="127">
          <cell r="E127">
            <v>138</v>
          </cell>
          <cell r="F127" t="str">
            <v>Staff</v>
          </cell>
          <cell r="G127">
            <v>-0.89</v>
          </cell>
          <cell r="I127">
            <v>-0.89</v>
          </cell>
        </row>
        <row r="128">
          <cell r="E128">
            <v>139</v>
          </cell>
          <cell r="F128" t="str">
            <v xml:space="preserve">Others </v>
          </cell>
          <cell r="G128">
            <v>-8.2699999999999978</v>
          </cell>
          <cell r="I128">
            <v>-8.2699999999999978</v>
          </cell>
        </row>
        <row r="129">
          <cell r="E129">
            <v>140</v>
          </cell>
          <cell r="F129" t="str">
            <v>Rent from Companies</v>
          </cell>
          <cell r="G129">
            <v>-0.70000000000000007</v>
          </cell>
          <cell r="I129">
            <v>-0.70000000000000007</v>
          </cell>
        </row>
        <row r="130">
          <cell r="E130">
            <v>141</v>
          </cell>
          <cell r="F130" t="str">
            <v>Sale of Scrap</v>
          </cell>
          <cell r="G130">
            <v>-3.9999999999999996</v>
          </cell>
          <cell r="I130">
            <v>-3.9999999999999996</v>
          </cell>
        </row>
        <row r="131">
          <cell r="E131">
            <v>142</v>
          </cell>
          <cell r="F131" t="str">
            <v>Penalties from Suppliers</v>
          </cell>
          <cell r="G131">
            <v>-7.58</v>
          </cell>
          <cell r="I131">
            <v>-7.58</v>
          </cell>
        </row>
        <row r="132">
          <cell r="E132">
            <v>144</v>
          </cell>
          <cell r="F132" t="str">
            <v>Other Income</v>
          </cell>
          <cell r="G132">
            <v>-268.35000000000002</v>
          </cell>
          <cell r="I132">
            <v>-268.35000000000002</v>
          </cell>
        </row>
        <row r="133">
          <cell r="E133">
            <v>146</v>
          </cell>
          <cell r="F133" t="str">
            <v>Power Purchase  - Fixed Cost</v>
          </cell>
          <cell r="G133">
            <v>8682.6299999999992</v>
          </cell>
          <cell r="I133">
            <v>8682.6299999999992</v>
          </cell>
        </row>
        <row r="134">
          <cell r="E134">
            <v>207</v>
          </cell>
          <cell r="F134" t="str">
            <v>Power Purchase  - Variable  Cost</v>
          </cell>
          <cell r="G134">
            <v>22599.879999999997</v>
          </cell>
          <cell r="I134">
            <v>22599.879999999997</v>
          </cell>
        </row>
        <row r="135">
          <cell r="E135">
            <v>208</v>
          </cell>
          <cell r="F135" t="str">
            <v>Transmission Charges</v>
          </cell>
          <cell r="G135">
            <v>4091.6099999999997</v>
          </cell>
          <cell r="I135">
            <v>4091.6099999999997</v>
          </cell>
        </row>
        <row r="136">
          <cell r="E136">
            <v>209</v>
          </cell>
          <cell r="F136" t="str">
            <v>Other Incidental Charges</v>
          </cell>
          <cell r="G136">
            <v>136.59</v>
          </cell>
          <cell r="I136">
            <v>136.59</v>
          </cell>
        </row>
        <row r="137">
          <cell r="E137">
            <v>147</v>
          </cell>
          <cell r="F137" t="str">
            <v>Salaries &amp; Incentives</v>
          </cell>
          <cell r="G137">
            <v>1944.6499999999999</v>
          </cell>
          <cell r="I137">
            <v>1944.6499999999999</v>
          </cell>
        </row>
        <row r="138">
          <cell r="E138">
            <v>226</v>
          </cell>
          <cell r="F138" t="str">
            <v>ARTISANS REMUNERATION</v>
          </cell>
          <cell r="G138">
            <v>379.29</v>
          </cell>
          <cell r="I138">
            <v>379.29</v>
          </cell>
        </row>
        <row r="139">
          <cell r="E139">
            <v>148</v>
          </cell>
          <cell r="F139" t="str">
            <v>Contributions to Provident Funds</v>
          </cell>
          <cell r="G139">
            <v>90.240000000000009</v>
          </cell>
          <cell r="I139">
            <v>90.240000000000009</v>
          </cell>
        </row>
        <row r="140">
          <cell r="E140">
            <v>227</v>
          </cell>
          <cell r="F140" t="str">
            <v>ARTISANS EPF AND ESI CONTRIBUTIONS</v>
          </cell>
          <cell r="G140">
            <v>20.569999999999997</v>
          </cell>
          <cell r="I140">
            <v>20.569999999999997</v>
          </cell>
        </row>
        <row r="141">
          <cell r="E141">
            <v>149</v>
          </cell>
          <cell r="F141" t="str">
            <v>Pension Benefits</v>
          </cell>
          <cell r="G141">
            <v>556.81000000000006</v>
          </cell>
          <cell r="I141">
            <v>556.81000000000006</v>
          </cell>
        </row>
        <row r="142">
          <cell r="E142">
            <v>150</v>
          </cell>
          <cell r="F142" t="str">
            <v>Directors' Remuneration &amp; Allowances</v>
          </cell>
          <cell r="G142">
            <v>3.31</v>
          </cell>
          <cell r="I142">
            <v>3.31</v>
          </cell>
        </row>
        <row r="143">
          <cell r="E143">
            <v>151</v>
          </cell>
          <cell r="F143" t="str">
            <v>Directors' Sitting Fees</v>
          </cell>
          <cell r="G143">
            <v>0</v>
          </cell>
          <cell r="I143">
            <v>0</v>
          </cell>
        </row>
        <row r="144">
          <cell r="E144">
            <v>152</v>
          </cell>
          <cell r="F144" t="str">
            <v>Staff Welfare Expenses</v>
          </cell>
          <cell r="G144">
            <v>184.00999999999996</v>
          </cell>
          <cell r="I144">
            <v>184.00999999999996</v>
          </cell>
        </row>
        <row r="145">
          <cell r="E145">
            <v>153</v>
          </cell>
          <cell r="F145" t="str">
            <v>Employee Cost Capitalised</v>
          </cell>
          <cell r="G145">
            <v>-97.78</v>
          </cell>
          <cell r="I145">
            <v>-97.78</v>
          </cell>
        </row>
        <row r="146">
          <cell r="E146">
            <v>154</v>
          </cell>
          <cell r="F146" t="str">
            <v>Licence fees - APERC</v>
          </cell>
          <cell r="G146">
            <v>8.1999999999999993</v>
          </cell>
          <cell r="I146">
            <v>8.1999999999999993</v>
          </cell>
        </row>
        <row r="147">
          <cell r="E147">
            <v>155</v>
          </cell>
          <cell r="F147" t="str">
            <v>Repairs &amp; Maintenance to Plant and Machinery</v>
          </cell>
          <cell r="G147">
            <v>141.76999999999998</v>
          </cell>
          <cell r="I147">
            <v>141.76999999999998</v>
          </cell>
        </row>
        <row r="148">
          <cell r="E148">
            <v>156</v>
          </cell>
          <cell r="F148" t="str">
            <v>Repairs &amp; Maintenance to Buildings &amp; Civil works</v>
          </cell>
          <cell r="G148">
            <v>5.81</v>
          </cell>
          <cell r="I148">
            <v>5.81</v>
          </cell>
        </row>
        <row r="149">
          <cell r="E149">
            <v>157</v>
          </cell>
          <cell r="F149" t="str">
            <v>Repairs to Vehicles</v>
          </cell>
          <cell r="G149">
            <v>41.900000000000006</v>
          </cell>
          <cell r="I149">
            <v>41.900000000000006</v>
          </cell>
        </row>
        <row r="150">
          <cell r="E150">
            <v>158</v>
          </cell>
          <cell r="F150" t="str">
            <v>R &amp; M Others</v>
          </cell>
          <cell r="G150">
            <v>6.42</v>
          </cell>
          <cell r="I150">
            <v>6.42</v>
          </cell>
        </row>
        <row r="151">
          <cell r="E151">
            <v>159</v>
          </cell>
          <cell r="F151" t="str">
            <v>Office Maintenance</v>
          </cell>
          <cell r="G151">
            <v>1.77</v>
          </cell>
          <cell r="I151">
            <v>1.77</v>
          </cell>
        </row>
        <row r="152">
          <cell r="E152">
            <v>160</v>
          </cell>
          <cell r="F152" t="str">
            <v>Vehicle Hire Charges</v>
          </cell>
          <cell r="G152">
            <v>8.1</v>
          </cell>
          <cell r="I152">
            <v>8.1</v>
          </cell>
        </row>
        <row r="153">
          <cell r="E153">
            <v>161</v>
          </cell>
          <cell r="F153" t="str">
            <v>Rent</v>
          </cell>
          <cell r="G153">
            <v>0.84</v>
          </cell>
          <cell r="I153">
            <v>0.84</v>
          </cell>
        </row>
        <row r="154">
          <cell r="E154">
            <v>162</v>
          </cell>
          <cell r="F154" t="str">
            <v>Rates &amp; Taxes</v>
          </cell>
          <cell r="G154">
            <v>4.71</v>
          </cell>
          <cell r="I154">
            <v>4.71</v>
          </cell>
        </row>
        <row r="155">
          <cell r="E155">
            <v>163</v>
          </cell>
          <cell r="F155" t="str">
            <v>Insurance</v>
          </cell>
          <cell r="G155">
            <v>0.30000000000000004</v>
          </cell>
          <cell r="I155">
            <v>0.30000000000000004</v>
          </cell>
        </row>
        <row r="156">
          <cell r="E156">
            <v>164</v>
          </cell>
          <cell r="F156" t="str">
            <v>Telephone &amp; Communication</v>
          </cell>
          <cell r="G156">
            <v>6.5499999999999989</v>
          </cell>
          <cell r="I156">
            <v>6.5499999999999989</v>
          </cell>
        </row>
        <row r="157">
          <cell r="E157">
            <v>165</v>
          </cell>
          <cell r="F157" t="str">
            <v>Postage &amp; Telegrams</v>
          </cell>
          <cell r="G157">
            <v>0.13</v>
          </cell>
          <cell r="I157">
            <v>0.13</v>
          </cell>
        </row>
        <row r="158">
          <cell r="E158">
            <v>166</v>
          </cell>
          <cell r="F158" t="str">
            <v>Legal Charges</v>
          </cell>
          <cell r="G158">
            <v>1.95</v>
          </cell>
          <cell r="I158">
            <v>1.95</v>
          </cell>
        </row>
        <row r="159">
          <cell r="E159">
            <v>167</v>
          </cell>
          <cell r="F159" t="str">
            <v>Audit Expenses</v>
          </cell>
          <cell r="G159">
            <v>0.16</v>
          </cell>
          <cell r="I159">
            <v>0.16</v>
          </cell>
        </row>
        <row r="160">
          <cell r="E160">
            <v>170</v>
          </cell>
          <cell r="F160" t="str">
            <v>Professional Charges</v>
          </cell>
          <cell r="G160">
            <v>42.45</v>
          </cell>
          <cell r="I160">
            <v>42.45</v>
          </cell>
        </row>
        <row r="161">
          <cell r="E161">
            <v>171</v>
          </cell>
          <cell r="F161" t="str">
            <v>Contract Labour Charges</v>
          </cell>
          <cell r="G161">
            <v>17.14</v>
          </cell>
          <cell r="I161">
            <v>17.14</v>
          </cell>
        </row>
        <row r="162">
          <cell r="E162">
            <v>172</v>
          </cell>
          <cell r="F162" t="str">
            <v>Inventories Handling Charges</v>
          </cell>
          <cell r="G162">
            <v>0.03</v>
          </cell>
          <cell r="I162">
            <v>0.03</v>
          </cell>
        </row>
        <row r="163">
          <cell r="E163">
            <v>174</v>
          </cell>
          <cell r="F163" t="str">
            <v>Other Expenses</v>
          </cell>
          <cell r="G163">
            <v>17.349999999999998</v>
          </cell>
          <cell r="I163">
            <v>17.349999999999998</v>
          </cell>
        </row>
        <row r="164">
          <cell r="E164">
            <v>175</v>
          </cell>
          <cell r="F164" t="str">
            <v>Training Expenses</v>
          </cell>
          <cell r="G164">
            <v>0.16</v>
          </cell>
          <cell r="I164">
            <v>0.16</v>
          </cell>
        </row>
        <row r="165">
          <cell r="E165">
            <v>176</v>
          </cell>
          <cell r="F165" t="str">
            <v>Printing  &amp; Stationery</v>
          </cell>
          <cell r="G165">
            <v>6.85</v>
          </cell>
          <cell r="I165">
            <v>6.85</v>
          </cell>
        </row>
        <row r="166">
          <cell r="E166">
            <v>177</v>
          </cell>
          <cell r="F166" t="str">
            <v>Advertisement</v>
          </cell>
          <cell r="G166">
            <v>2.0299999999999998</v>
          </cell>
          <cell r="I166">
            <v>2.0299999999999998</v>
          </cell>
        </row>
        <row r="167">
          <cell r="E167">
            <v>169</v>
          </cell>
          <cell r="F167" t="str">
            <v>Consultancy Charges</v>
          </cell>
          <cell r="G167">
            <v>4.46</v>
          </cell>
          <cell r="I167">
            <v>4.46</v>
          </cell>
        </row>
        <row r="168">
          <cell r="E168">
            <v>178</v>
          </cell>
          <cell r="F168" t="str">
            <v>Electricity Charges</v>
          </cell>
          <cell r="G168">
            <v>12.97</v>
          </cell>
          <cell r="I168">
            <v>12.97</v>
          </cell>
        </row>
        <row r="169">
          <cell r="E169">
            <v>179</v>
          </cell>
          <cell r="F169" t="str">
            <v>Traveling Expenses</v>
          </cell>
          <cell r="G169">
            <v>28.3</v>
          </cell>
          <cell r="I169">
            <v>28.3</v>
          </cell>
        </row>
        <row r="170">
          <cell r="E170">
            <v>230</v>
          </cell>
          <cell r="F170" t="str">
            <v>OFFICE MAINTENANCE TEA SNACKS</v>
          </cell>
          <cell r="G170">
            <v>1.65</v>
          </cell>
          <cell r="I170">
            <v>1.65</v>
          </cell>
        </row>
        <row r="171">
          <cell r="E171">
            <v>180</v>
          </cell>
          <cell r="F171" t="str">
            <v>Less: Administration &amp; General Capitalised</v>
          </cell>
          <cell r="G171">
            <v>-17.23</v>
          </cell>
          <cell r="I171">
            <v>-17.23</v>
          </cell>
        </row>
        <row r="172">
          <cell r="E172">
            <v>219</v>
          </cell>
          <cell r="F172" t="str">
            <v>Vidyut Ombudsman Exp</v>
          </cell>
          <cell r="G172">
            <v>0.5</v>
          </cell>
          <cell r="I172">
            <v>0.5</v>
          </cell>
        </row>
        <row r="173">
          <cell r="E173">
            <v>231</v>
          </cell>
          <cell r="F173" t="str">
            <v>OFFICE MAINTENANCE OTHER EXP</v>
          </cell>
          <cell r="G173">
            <v>2.73</v>
          </cell>
          <cell r="I173">
            <v>2.73</v>
          </cell>
        </row>
        <row r="174">
          <cell r="E174">
            <v>233</v>
          </cell>
          <cell r="F174" t="str">
            <v>OFFICE MAINTENTANCE CLEANING EXP</v>
          </cell>
          <cell r="G174">
            <v>0.71</v>
          </cell>
          <cell r="I174">
            <v>0.71</v>
          </cell>
        </row>
        <row r="175">
          <cell r="E175">
            <v>181</v>
          </cell>
          <cell r="F175" t="str">
            <v>Interest on Long Term Loans</v>
          </cell>
          <cell r="G175">
            <v>377.23</v>
          </cell>
          <cell r="I175">
            <v>377.23</v>
          </cell>
        </row>
        <row r="176">
          <cell r="E176">
            <v>182</v>
          </cell>
          <cell r="F176" t="str">
            <v>Consumption Deposits</v>
          </cell>
          <cell r="G176">
            <v>226.76</v>
          </cell>
          <cell r="I176">
            <v>226.76</v>
          </cell>
        </row>
        <row r="177">
          <cell r="E177">
            <v>183</v>
          </cell>
          <cell r="F177" t="str">
            <v>FRP BONDS</v>
          </cell>
          <cell r="G177">
            <v>152.83000000000001</v>
          </cell>
          <cell r="I177">
            <v>152.83000000000001</v>
          </cell>
        </row>
        <row r="178">
          <cell r="E178">
            <v>184</v>
          </cell>
          <cell r="F178" t="str">
            <v>Bank Charges</v>
          </cell>
          <cell r="G178">
            <v>76.419999999999987</v>
          </cell>
          <cell r="I178">
            <v>76.419999999999987</v>
          </cell>
        </row>
        <row r="179">
          <cell r="E179">
            <v>185</v>
          </cell>
          <cell r="F179" t="str">
            <v>Less: Interest and Finance Charges Capitalised</v>
          </cell>
          <cell r="G179">
            <v>-16.52</v>
          </cell>
          <cell r="I179">
            <v>-16.52</v>
          </cell>
        </row>
        <row r="180">
          <cell r="E180">
            <v>206</v>
          </cell>
          <cell r="F180" t="str">
            <v>Interest on Short Term Loans</v>
          </cell>
          <cell r="G180">
            <v>1483.3400000000001</v>
          </cell>
          <cell r="I180">
            <v>1483.3400000000001</v>
          </cell>
        </row>
        <row r="181">
          <cell r="E181">
            <v>232</v>
          </cell>
          <cell r="F181" t="str">
            <v>Interest on Others</v>
          </cell>
          <cell r="G181">
            <v>200.51999999999998</v>
          </cell>
          <cell r="I181">
            <v>200.51999999999998</v>
          </cell>
        </row>
        <row r="182">
          <cell r="E182">
            <v>186</v>
          </cell>
          <cell r="F182" t="str">
            <v>Assets Scrapped</v>
          </cell>
          <cell r="G182">
            <v>2.58</v>
          </cell>
          <cell r="I182">
            <v>2.58</v>
          </cell>
        </row>
        <row r="183">
          <cell r="E183">
            <v>201</v>
          </cell>
          <cell r="F183" t="str">
            <v>Bad Debts Written Off Others</v>
          </cell>
          <cell r="G183">
            <v>-52.86</v>
          </cell>
          <cell r="I183">
            <v>-52.86</v>
          </cell>
        </row>
        <row r="184">
          <cell r="E184">
            <v>188</v>
          </cell>
          <cell r="F184" t="str">
            <v>Compensation</v>
          </cell>
          <cell r="G184">
            <v>19.760000000000002</v>
          </cell>
          <cell r="I184">
            <v>19.760000000000002</v>
          </cell>
        </row>
        <row r="185">
          <cell r="E185">
            <v>189</v>
          </cell>
          <cell r="F185" t="str">
            <v>Others</v>
          </cell>
          <cell r="G185">
            <v>-2.4500000000000002</v>
          </cell>
          <cell r="I185">
            <v>-2.4500000000000002</v>
          </cell>
        </row>
        <row r="186">
          <cell r="E186">
            <v>190</v>
          </cell>
          <cell r="F186" t="str">
            <v>Price Variation</v>
          </cell>
          <cell r="G186">
            <v>34.69</v>
          </cell>
          <cell r="I186">
            <v>34.69</v>
          </cell>
        </row>
        <row r="187">
          <cell r="E187">
            <v>195</v>
          </cell>
          <cell r="F187" t="str">
            <v>Deprcn  Property Plant and Equipment</v>
          </cell>
          <cell r="G187">
            <v>797.33</v>
          </cell>
          <cell r="I187">
            <v>797.33</v>
          </cell>
        </row>
        <row r="188">
          <cell r="E188">
            <v>196</v>
          </cell>
          <cell r="F188" t="str">
            <v>Amortization of Intangible Assets-Exp</v>
          </cell>
          <cell r="G188">
            <v>4.57</v>
          </cell>
          <cell r="I188">
            <v>4.57</v>
          </cell>
        </row>
        <row r="189">
          <cell r="E189">
            <v>199</v>
          </cell>
          <cell r="F189" t="str">
            <v>Deferred Tax</v>
          </cell>
          <cell r="G189">
            <v>157.46</v>
          </cell>
          <cell r="I189">
            <v>157.46</v>
          </cell>
        </row>
        <row r="190">
          <cell r="G190">
            <v>1.4694023775518872E-11</v>
          </cell>
          <cell r="I190">
            <v>-8.7254647951340303E-12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B1:M171"/>
  <sheetViews>
    <sheetView tabSelected="1" view="pageBreakPreview" topLeftCell="B1" zoomScaleNormal="100" zoomScaleSheetLayoutView="100" workbookViewId="0">
      <selection activeCell="B20" sqref="B20"/>
    </sheetView>
  </sheetViews>
  <sheetFormatPr defaultColWidth="9.140625" defaultRowHeight="14.25"/>
  <cols>
    <col min="1" max="1" width="0" style="244" hidden="1" customWidth="1"/>
    <col min="2" max="2" width="49.28515625" style="244" bestFit="1" customWidth="1"/>
    <col min="3" max="3" width="12.7109375" style="244" bestFit="1" customWidth="1"/>
    <col min="4" max="4" width="16.7109375" style="244" customWidth="1"/>
    <col min="5" max="5" width="17.28515625" style="244" bestFit="1" customWidth="1"/>
    <col min="6" max="6" width="14" style="244" bestFit="1" customWidth="1"/>
    <col min="7" max="7" width="49.28515625" style="244" hidden="1" customWidth="1"/>
    <col min="8" max="8" width="10.85546875" style="244" hidden="1" customWidth="1"/>
    <col min="9" max="9" width="15" style="244" hidden="1" customWidth="1"/>
    <col min="10" max="10" width="18.5703125" style="244" hidden="1" customWidth="1"/>
    <col min="11" max="11" width="9.140625" style="244"/>
    <col min="12" max="12" width="58.140625" style="244" bestFit="1" customWidth="1"/>
    <col min="13" max="16384" width="9.140625" style="244"/>
  </cols>
  <sheetData>
    <row r="1" spans="2:10" ht="15.75">
      <c r="B1" s="323" t="s">
        <v>0</v>
      </c>
      <c r="C1" s="323"/>
      <c r="D1" s="323"/>
      <c r="E1" s="243" t="s">
        <v>1</v>
      </c>
      <c r="G1" s="323"/>
      <c r="H1" s="323"/>
      <c r="I1" s="323"/>
      <c r="J1" s="243"/>
    </row>
    <row r="2" spans="2:10" ht="15">
      <c r="B2" s="7" t="s">
        <v>2</v>
      </c>
      <c r="C2" s="245" t="s">
        <v>3</v>
      </c>
      <c r="D2" s="246" t="s">
        <v>41</v>
      </c>
      <c r="E2" s="245" t="s">
        <v>4</v>
      </c>
      <c r="G2" s="7"/>
      <c r="H2" s="245"/>
      <c r="I2" s="246"/>
      <c r="J2" s="245"/>
    </row>
    <row r="3" spans="2:10" ht="15">
      <c r="B3" s="7" t="s">
        <v>386</v>
      </c>
      <c r="C3" s="339"/>
      <c r="D3" s="339"/>
      <c r="E3" s="339"/>
      <c r="F3" s="290"/>
      <c r="G3" s="7"/>
      <c r="H3" s="339"/>
      <c r="I3" s="339"/>
      <c r="J3" s="339"/>
    </row>
    <row r="4" spans="2:10">
      <c r="B4" s="247" t="s">
        <v>5</v>
      </c>
      <c r="C4" s="184">
        <f>C81</f>
        <v>3629.2002997999998</v>
      </c>
      <c r="D4" s="184">
        <f>D81</f>
        <v>3560.1600000000003</v>
      </c>
      <c r="E4" s="184">
        <f>D4-C4</f>
        <v>-69.040299799999502</v>
      </c>
      <c r="F4" s="290">
        <v>130.99639879999995</v>
      </c>
      <c r="G4" s="8"/>
      <c r="H4" s="2"/>
      <c r="I4" s="2"/>
      <c r="J4" s="15"/>
    </row>
    <row r="5" spans="2:10">
      <c r="B5" s="247" t="s">
        <v>6</v>
      </c>
      <c r="C5" s="184">
        <f>C124</f>
        <v>538.01878646891259</v>
      </c>
      <c r="D5" s="184">
        <f>D124</f>
        <v>555.74697839292492</v>
      </c>
      <c r="E5" s="184">
        <f>D5-C5</f>
        <v>17.728191924012322</v>
      </c>
      <c r="F5" s="290">
        <v>-281.1863625032089</v>
      </c>
      <c r="G5" s="8"/>
      <c r="H5" s="2"/>
      <c r="I5" s="2"/>
      <c r="J5" s="15"/>
    </row>
    <row r="6" spans="2:10">
      <c r="B6" s="247" t="s">
        <v>7</v>
      </c>
      <c r="C6" s="184">
        <f>C86</f>
        <v>1158.53</v>
      </c>
      <c r="D6" s="184">
        <f>D86</f>
        <v>842.13</v>
      </c>
      <c r="E6" s="184">
        <f>D6-C6</f>
        <v>-316.39999999999998</v>
      </c>
      <c r="F6" s="290">
        <v>-237.99999999999966</v>
      </c>
      <c r="G6" s="8"/>
      <c r="H6" s="2"/>
      <c r="I6" s="2"/>
      <c r="J6" s="15"/>
    </row>
    <row r="7" spans="2:10">
      <c r="B7" s="247" t="s">
        <v>8</v>
      </c>
      <c r="C7" s="248">
        <v>63.47</v>
      </c>
      <c r="D7" s="248">
        <f>D44</f>
        <v>0</v>
      </c>
      <c r="E7" s="184">
        <f t="shared" ref="E7:E13" si="0">D7-C7</f>
        <v>-63.47</v>
      </c>
      <c r="F7" s="290">
        <v>-55.79</v>
      </c>
      <c r="G7" s="8"/>
      <c r="H7" s="2"/>
      <c r="I7" s="2"/>
      <c r="J7" s="15"/>
    </row>
    <row r="8" spans="2:10">
      <c r="B8" s="247" t="s">
        <v>9</v>
      </c>
      <c r="C8" s="248">
        <f>C38</f>
        <v>20</v>
      </c>
      <c r="D8" s="248">
        <f>D38</f>
        <v>5.25</v>
      </c>
      <c r="E8" s="184">
        <f t="shared" si="0"/>
        <v>-14.75</v>
      </c>
      <c r="F8" s="290">
        <v>-14.18</v>
      </c>
      <c r="G8" s="8"/>
      <c r="H8" s="2"/>
      <c r="I8" s="2"/>
      <c r="J8" s="15"/>
    </row>
    <row r="9" spans="2:10">
      <c r="B9" s="249" t="s">
        <v>10</v>
      </c>
      <c r="C9" s="184">
        <v>0</v>
      </c>
      <c r="D9" s="184">
        <f>D132</f>
        <v>22.78</v>
      </c>
      <c r="E9" s="184">
        <f t="shared" si="0"/>
        <v>22.78</v>
      </c>
      <c r="F9" s="290">
        <v>57.03</v>
      </c>
      <c r="G9" s="181"/>
      <c r="H9" s="174"/>
      <c r="I9" s="174"/>
      <c r="J9" s="15"/>
    </row>
    <row r="10" spans="2:10" ht="15">
      <c r="B10" s="250" t="s">
        <v>11</v>
      </c>
      <c r="C10" s="251">
        <f>SUM(C4:C9)</f>
        <v>5409.2190862689122</v>
      </c>
      <c r="D10" s="251">
        <f>SUM(D4:D9)</f>
        <v>4986.0669783929252</v>
      </c>
      <c r="E10" s="251">
        <f t="shared" si="0"/>
        <v>-423.15210787598699</v>
      </c>
      <c r="F10" s="290">
        <v>-401.1299637032098</v>
      </c>
      <c r="G10" s="7"/>
      <c r="H10" s="12"/>
      <c r="I10" s="12"/>
      <c r="J10" s="13"/>
    </row>
    <row r="11" spans="2:10">
      <c r="B11" s="247" t="s">
        <v>12</v>
      </c>
      <c r="C11" s="184">
        <f>C32</f>
        <v>585.52</v>
      </c>
      <c r="D11" s="184">
        <f>C171</f>
        <v>456.4</v>
      </c>
      <c r="E11" s="184">
        <f t="shared" si="0"/>
        <v>-129.12</v>
      </c>
      <c r="F11" s="290">
        <v>-54.77418885002686</v>
      </c>
      <c r="G11" s="8"/>
      <c r="H11" s="2"/>
      <c r="I11" s="2"/>
      <c r="J11" s="15"/>
    </row>
    <row r="12" spans="2:10">
      <c r="B12" s="247" t="s">
        <v>13</v>
      </c>
      <c r="C12" s="184">
        <f>C26</f>
        <v>49.84</v>
      </c>
      <c r="D12" s="184">
        <f>D26</f>
        <v>19.079999999999998</v>
      </c>
      <c r="E12" s="184">
        <f t="shared" si="0"/>
        <v>-30.760000000000005</v>
      </c>
      <c r="F12" s="290">
        <v>-26.551604690000001</v>
      </c>
      <c r="G12" s="8"/>
      <c r="H12" s="2"/>
      <c r="I12" s="252"/>
      <c r="J12" s="253"/>
    </row>
    <row r="13" spans="2:10" ht="15">
      <c r="B13" s="250" t="s">
        <v>14</v>
      </c>
      <c r="C13" s="254">
        <f>C10-C11-C12</f>
        <v>4773.8590862689125</v>
      </c>
      <c r="D13" s="254">
        <f>D10-D11-D12</f>
        <v>4510.5869783929256</v>
      </c>
      <c r="E13" s="251">
        <f t="shared" si="0"/>
        <v>-263.27210787598688</v>
      </c>
      <c r="F13" s="290">
        <v>-319.80417016318279</v>
      </c>
      <c r="G13" s="7"/>
      <c r="H13" s="12"/>
      <c r="I13" s="12"/>
      <c r="J13" s="13"/>
    </row>
    <row r="14" spans="2:10">
      <c r="B14" s="324"/>
      <c r="C14" s="324"/>
      <c r="D14" s="324"/>
      <c r="E14" s="324"/>
      <c r="F14" s="290"/>
      <c r="G14" s="324"/>
      <c r="H14" s="324"/>
      <c r="I14" s="324"/>
      <c r="J14" s="324"/>
    </row>
    <row r="15" spans="2:10" ht="15">
      <c r="B15" s="180" t="s">
        <v>15</v>
      </c>
      <c r="C15" s="181"/>
      <c r="D15" s="181"/>
      <c r="E15" s="181"/>
      <c r="F15" s="290"/>
      <c r="G15" s="3"/>
      <c r="H15" s="4"/>
      <c r="I15" s="4"/>
      <c r="J15" s="4"/>
    </row>
    <row r="16" spans="2:10">
      <c r="B16" s="181" t="s">
        <v>16</v>
      </c>
      <c r="C16" s="256">
        <f>C13</f>
        <v>4773.8590862689125</v>
      </c>
      <c r="D16" s="256">
        <f>C16</f>
        <v>4773.8590862689125</v>
      </c>
      <c r="E16" s="256">
        <f>D16-C16</f>
        <v>0</v>
      </c>
      <c r="F16" s="255"/>
      <c r="G16" s="4"/>
      <c r="H16" s="257"/>
      <c r="I16" s="257"/>
      <c r="J16" s="258"/>
    </row>
    <row r="17" spans="2:10" ht="15">
      <c r="B17" s="180" t="s">
        <v>17</v>
      </c>
      <c r="C17" s="259">
        <f>C10</f>
        <v>5409.2190862689122</v>
      </c>
      <c r="D17" s="259">
        <f>D10</f>
        <v>4986.0669783929252</v>
      </c>
      <c r="E17" s="259">
        <f>D17-C17</f>
        <v>-423.15210787598699</v>
      </c>
      <c r="F17" s="255"/>
      <c r="G17" s="3"/>
      <c r="H17" s="260"/>
      <c r="I17" s="260"/>
      <c r="J17" s="261"/>
    </row>
    <row r="18" spans="2:10">
      <c r="B18" s="181" t="s">
        <v>18</v>
      </c>
      <c r="C18" s="256">
        <v>0</v>
      </c>
      <c r="D18" s="256">
        <f>D13-D16</f>
        <v>-263.27210787598688</v>
      </c>
      <c r="E18" s="256">
        <f t="shared" ref="E18:E20" si="1">D18-C18</f>
        <v>-263.27210787598688</v>
      </c>
      <c r="F18" s="255"/>
      <c r="G18" s="4"/>
      <c r="H18" s="257"/>
      <c r="I18" s="258"/>
      <c r="J18" s="258"/>
    </row>
    <row r="19" spans="2:10">
      <c r="B19" s="181" t="s">
        <v>19</v>
      </c>
      <c r="C19" s="256">
        <v>0</v>
      </c>
      <c r="D19" s="256">
        <v>0</v>
      </c>
      <c r="E19" s="256">
        <f t="shared" si="1"/>
        <v>0</v>
      </c>
      <c r="F19" s="255"/>
      <c r="G19" s="4"/>
      <c r="H19" s="262"/>
      <c r="I19" s="262"/>
      <c r="J19" s="258"/>
    </row>
    <row r="20" spans="2:10" ht="15">
      <c r="B20" s="180" t="s">
        <v>20</v>
      </c>
      <c r="C20" s="259">
        <v>0</v>
      </c>
      <c r="D20" s="259">
        <f>D18</f>
        <v>-263.27210787598688</v>
      </c>
      <c r="E20" s="259">
        <f t="shared" si="1"/>
        <v>-263.27210787598688</v>
      </c>
      <c r="F20" s="255"/>
      <c r="G20" s="3"/>
      <c r="H20" s="260"/>
      <c r="I20" s="261"/>
      <c r="J20" s="261"/>
    </row>
    <row r="21" spans="2:10" ht="15">
      <c r="B21" s="5"/>
      <c r="C21" s="263"/>
      <c r="D21" s="264"/>
      <c r="E21" s="264"/>
      <c r="F21" s="265"/>
      <c r="G21" s="5"/>
      <c r="H21" s="263"/>
      <c r="I21" s="264"/>
      <c r="J21" s="264"/>
    </row>
    <row r="23" spans="2:10" ht="15.75">
      <c r="B23" s="323" t="s">
        <v>21</v>
      </c>
      <c r="C23" s="323"/>
      <c r="D23" s="323"/>
      <c r="E23" s="243" t="s">
        <v>1</v>
      </c>
    </row>
    <row r="24" spans="2:10" ht="15">
      <c r="B24" s="7" t="s">
        <v>2</v>
      </c>
      <c r="C24" s="245" t="s">
        <v>3</v>
      </c>
      <c r="D24" s="245" t="s">
        <v>22</v>
      </c>
      <c r="E24" s="245" t="s">
        <v>4</v>
      </c>
    </row>
    <row r="25" spans="2:10" ht="15">
      <c r="B25" s="7" t="s">
        <v>386</v>
      </c>
      <c r="C25" s="336"/>
      <c r="D25" s="337"/>
      <c r="E25" s="338"/>
    </row>
    <row r="26" spans="2:10">
      <c r="B26" s="8" t="s">
        <v>21</v>
      </c>
      <c r="C26" s="8">
        <v>49.84</v>
      </c>
      <c r="D26" s="266">
        <v>19.079999999999998</v>
      </c>
      <c r="E26" s="15">
        <f t="shared" ref="E26" si="2">D26-C26</f>
        <v>-30.760000000000005</v>
      </c>
    </row>
    <row r="27" spans="2:10">
      <c r="C27" s="244" t="s">
        <v>391</v>
      </c>
    </row>
    <row r="29" spans="2:10" ht="15.75">
      <c r="B29" s="323" t="s">
        <v>23</v>
      </c>
      <c r="C29" s="323"/>
      <c r="D29" s="323"/>
      <c r="E29" s="243" t="s">
        <v>1</v>
      </c>
    </row>
    <row r="30" spans="2:10" ht="15">
      <c r="B30" s="7" t="s">
        <v>2</v>
      </c>
      <c r="C30" s="245" t="s">
        <v>3</v>
      </c>
      <c r="D30" s="245" t="s">
        <v>22</v>
      </c>
      <c r="E30" s="245" t="s">
        <v>4</v>
      </c>
    </row>
    <row r="31" spans="2:10" ht="15">
      <c r="B31" s="7" t="s">
        <v>386</v>
      </c>
      <c r="C31" s="336"/>
      <c r="D31" s="337"/>
      <c r="E31" s="338"/>
    </row>
    <row r="32" spans="2:10">
      <c r="B32" s="8" t="s">
        <v>23</v>
      </c>
      <c r="C32" s="2">
        <v>585.52</v>
      </c>
      <c r="D32" s="293">
        <f>C171</f>
        <v>456.4</v>
      </c>
      <c r="E32" s="15">
        <f t="shared" ref="E32" si="3">D32-C32</f>
        <v>-129.12</v>
      </c>
    </row>
    <row r="35" spans="2:5" ht="15.75">
      <c r="B35" s="323" t="s">
        <v>9</v>
      </c>
      <c r="C35" s="323"/>
      <c r="D35" s="323"/>
      <c r="E35" s="243" t="s">
        <v>1</v>
      </c>
    </row>
    <row r="36" spans="2:5" ht="15">
      <c r="B36" s="7" t="s">
        <v>2</v>
      </c>
      <c r="C36" s="245" t="s">
        <v>3</v>
      </c>
      <c r="D36" s="245" t="s">
        <v>22</v>
      </c>
      <c r="E36" s="245" t="s">
        <v>4</v>
      </c>
    </row>
    <row r="37" spans="2:5" ht="15">
      <c r="B37" s="7" t="s">
        <v>386</v>
      </c>
      <c r="C37" s="326"/>
      <c r="D37" s="327"/>
      <c r="E37" s="328"/>
    </row>
    <row r="38" spans="2:5">
      <c r="B38" s="8" t="s">
        <v>24</v>
      </c>
      <c r="C38" s="2">
        <v>20</v>
      </c>
      <c r="D38" s="2">
        <v>5.25</v>
      </c>
      <c r="E38" s="15">
        <f t="shared" ref="E38" si="4">D38-C38</f>
        <v>-14.75</v>
      </c>
    </row>
    <row r="39" spans="2:5">
      <c r="B39" s="267"/>
    </row>
    <row r="41" spans="2:5" ht="15.75">
      <c r="B41" s="323" t="s">
        <v>25</v>
      </c>
      <c r="C41" s="323"/>
      <c r="D41" s="323"/>
      <c r="E41" s="243" t="s">
        <v>1</v>
      </c>
    </row>
    <row r="42" spans="2:5" ht="15">
      <c r="B42" s="7" t="s">
        <v>2</v>
      </c>
      <c r="C42" s="245" t="s">
        <v>3</v>
      </c>
      <c r="D42" s="245" t="s">
        <v>22</v>
      </c>
      <c r="E42" s="245" t="s">
        <v>4</v>
      </c>
    </row>
    <row r="43" spans="2:5" ht="15">
      <c r="B43" s="7" t="s">
        <v>386</v>
      </c>
      <c r="C43" s="326"/>
      <c r="D43" s="327"/>
      <c r="E43" s="328"/>
    </row>
    <row r="44" spans="2:5">
      <c r="B44" s="8" t="s">
        <v>25</v>
      </c>
      <c r="C44" s="15">
        <v>44.57</v>
      </c>
      <c r="D44" s="268">
        <v>0</v>
      </c>
      <c r="E44" s="15">
        <f t="shared" ref="E44" si="5">D44-C44</f>
        <v>-44.57</v>
      </c>
    </row>
    <row r="47" spans="2:5" ht="15.75">
      <c r="B47" s="323" t="s">
        <v>26</v>
      </c>
      <c r="C47" s="323"/>
      <c r="D47" s="323"/>
      <c r="E47" s="243" t="s">
        <v>1</v>
      </c>
    </row>
    <row r="48" spans="2:5" ht="15">
      <c r="B48" s="7" t="s">
        <v>2</v>
      </c>
      <c r="C48" s="245" t="s">
        <v>3</v>
      </c>
      <c r="D48" s="245" t="s">
        <v>22</v>
      </c>
      <c r="E48" s="245" t="s">
        <v>4</v>
      </c>
    </row>
    <row r="49" spans="2:13" ht="15">
      <c r="B49" s="7" t="s">
        <v>386</v>
      </c>
      <c r="C49" s="326"/>
      <c r="D49" s="327"/>
      <c r="E49" s="328"/>
    </row>
    <row r="50" spans="2:13" ht="15">
      <c r="B50" s="7" t="s">
        <v>368</v>
      </c>
      <c r="C50" s="9">
        <f>SUM(C51:C53)</f>
        <v>2629.58</v>
      </c>
      <c r="D50" s="9">
        <f>SUM(D51:D53)</f>
        <v>1822.76</v>
      </c>
      <c r="E50" s="177">
        <f t="shared" ref="E50:E54" si="6">D50-C50</f>
        <v>-806.81999999999994</v>
      </c>
    </row>
    <row r="51" spans="2:13">
      <c r="B51" s="269" t="s">
        <v>27</v>
      </c>
      <c r="C51" s="310">
        <v>2299.33</v>
      </c>
      <c r="D51" s="310">
        <v>1686.89</v>
      </c>
      <c r="E51" s="266">
        <f t="shared" si="6"/>
        <v>-612.43999999999983</v>
      </c>
      <c r="F51" s="270"/>
      <c r="L51" s="270">
        <f>K51-F51</f>
        <v>0</v>
      </c>
    </row>
    <row r="52" spans="2:13">
      <c r="B52" s="269" t="s">
        <v>28</v>
      </c>
      <c r="C52" s="310">
        <f>C64</f>
        <v>215.11</v>
      </c>
      <c r="D52" s="310">
        <f>D64</f>
        <v>120.52000000000001</v>
      </c>
      <c r="E52" s="266">
        <f t="shared" si="6"/>
        <v>-94.59</v>
      </c>
    </row>
    <row r="53" spans="2:13">
      <c r="B53" s="269" t="s">
        <v>29</v>
      </c>
      <c r="C53" s="310">
        <v>115.14</v>
      </c>
      <c r="D53" s="310">
        <v>15.35</v>
      </c>
      <c r="E53" s="266">
        <f t="shared" si="6"/>
        <v>-99.79</v>
      </c>
    </row>
    <row r="54" spans="2:13" ht="15">
      <c r="B54" s="7" t="s">
        <v>369</v>
      </c>
      <c r="C54" s="9">
        <v>2473.9</v>
      </c>
      <c r="D54" s="311">
        <v>1519.5807993869998</v>
      </c>
      <c r="E54" s="177">
        <f t="shared" si="6"/>
        <v>-954.31920061300025</v>
      </c>
    </row>
    <row r="55" spans="2:13">
      <c r="C55" s="270"/>
      <c r="D55" s="270"/>
    </row>
    <row r="57" spans="2:13" ht="15.75">
      <c r="B57" s="323" t="s">
        <v>371</v>
      </c>
      <c r="C57" s="323"/>
      <c r="D57" s="323"/>
      <c r="E57" s="243" t="s">
        <v>1</v>
      </c>
    </row>
    <row r="58" spans="2:13" ht="15">
      <c r="B58" s="7" t="s">
        <v>2</v>
      </c>
      <c r="C58" s="9" t="s">
        <v>3</v>
      </c>
      <c r="D58" s="9" t="s">
        <v>22</v>
      </c>
      <c r="E58" s="9" t="s">
        <v>4</v>
      </c>
    </row>
    <row r="59" spans="2:13" ht="15">
      <c r="B59" s="7" t="s">
        <v>386</v>
      </c>
      <c r="C59" s="333"/>
      <c r="D59" s="334"/>
      <c r="E59" s="335"/>
    </row>
    <row r="60" spans="2:13" ht="15">
      <c r="B60" s="7" t="s">
        <v>31</v>
      </c>
      <c r="C60" s="308">
        <f>SUM(C61:C63)</f>
        <v>3844.3102998000004</v>
      </c>
      <c r="D60" s="308">
        <f>SUM(D61:D63)</f>
        <v>3680.68</v>
      </c>
      <c r="E60" s="9">
        <f t="shared" ref="E60:E65" si="7">D60-C60</f>
        <v>-163.63029980000056</v>
      </c>
      <c r="F60" s="322">
        <f>SUM(F61:F63)</f>
        <v>3545.16</v>
      </c>
      <c r="G60" s="290"/>
      <c r="H60" s="290"/>
      <c r="I60" s="290"/>
      <c r="J60" s="290"/>
      <c r="K60" s="290"/>
      <c r="L60" s="244">
        <v>3844.31</v>
      </c>
    </row>
    <row r="61" spans="2:13">
      <c r="B61" s="271" t="s">
        <v>32</v>
      </c>
      <c r="C61" s="309">
        <v>3380.0764027</v>
      </c>
      <c r="D61" s="310">
        <v>3268.6</v>
      </c>
      <c r="E61" s="14">
        <f t="shared" si="7"/>
        <v>-111.47640270000011</v>
      </c>
      <c r="F61" s="290">
        <f>1944.65+379.29+90.24+20.57+556.81+3.31+184.01</f>
        <v>3178.88</v>
      </c>
      <c r="G61" s="290"/>
      <c r="H61" s="290"/>
      <c r="I61" s="290"/>
      <c r="J61" s="290"/>
      <c r="K61" s="290"/>
      <c r="L61" s="270">
        <v>3380.08</v>
      </c>
      <c r="M61" s="270"/>
    </row>
    <row r="62" spans="2:13">
      <c r="B62" s="271" t="s">
        <v>33</v>
      </c>
      <c r="C62" s="309">
        <v>244.1838971</v>
      </c>
      <c r="D62" s="310">
        <v>172.7</v>
      </c>
      <c r="E62" s="14">
        <f t="shared" si="7"/>
        <v>-71.483897100000007</v>
      </c>
      <c r="F62" s="291">
        <v>176.77</v>
      </c>
      <c r="G62" s="290"/>
      <c r="H62" s="290"/>
      <c r="I62" s="290"/>
      <c r="J62" s="290"/>
      <c r="K62" s="291">
        <f>1994.65+379.29+90.24+20.57+556.81+3.31+184.01</f>
        <v>3228.88</v>
      </c>
      <c r="L62" s="270">
        <v>244.18</v>
      </c>
      <c r="M62" s="270"/>
    </row>
    <row r="63" spans="2:13">
      <c r="B63" s="271" t="s">
        <v>34</v>
      </c>
      <c r="C63" s="309">
        <v>220.05000000000018</v>
      </c>
      <c r="D63" s="310">
        <v>239.37999999999997</v>
      </c>
      <c r="E63" s="14">
        <f t="shared" si="7"/>
        <v>19.329999999999785</v>
      </c>
      <c r="F63" s="291">
        <v>189.51</v>
      </c>
      <c r="G63" s="290"/>
      <c r="H63" s="290"/>
      <c r="I63" s="290"/>
      <c r="J63" s="290"/>
      <c r="K63" s="290"/>
      <c r="L63" s="270">
        <f>L60-(L61+L62)</f>
        <v>220.05000000000018</v>
      </c>
      <c r="M63" s="270"/>
    </row>
    <row r="64" spans="2:13">
      <c r="B64" s="271" t="s">
        <v>35</v>
      </c>
      <c r="C64" s="310">
        <v>215.11</v>
      </c>
      <c r="D64" s="310">
        <v>120.52000000000001</v>
      </c>
      <c r="E64" s="14">
        <f t="shared" si="7"/>
        <v>-94.59</v>
      </c>
      <c r="F64" s="290">
        <v>115.01</v>
      </c>
      <c r="G64" s="290"/>
      <c r="H64" s="290"/>
      <c r="I64" s="290"/>
      <c r="J64" s="290"/>
      <c r="K64" s="290"/>
      <c r="L64" s="244">
        <v>215.11</v>
      </c>
    </row>
    <row r="65" spans="2:12" ht="15">
      <c r="B65" s="7" t="s">
        <v>36</v>
      </c>
      <c r="C65" s="308">
        <f>C60-C64</f>
        <v>3629.2002998000003</v>
      </c>
      <c r="D65" s="308">
        <f>SUM(D61:D63)-D64</f>
        <v>3560.16</v>
      </c>
      <c r="E65" s="272">
        <f t="shared" si="7"/>
        <v>-69.040299800000412</v>
      </c>
      <c r="F65" s="322">
        <f>SUM(F61:F63)-F64</f>
        <v>3430.1499999999996</v>
      </c>
      <c r="G65" s="290"/>
      <c r="H65" s="290"/>
      <c r="I65" s="290"/>
      <c r="J65" s="290"/>
      <c r="K65" s="290"/>
      <c r="L65" s="244">
        <v>3629.21</v>
      </c>
    </row>
    <row r="66" spans="2:12">
      <c r="F66" s="290"/>
      <c r="G66" s="290"/>
      <c r="H66" s="290"/>
      <c r="I66" s="290"/>
      <c r="J66" s="290"/>
      <c r="K66" s="290"/>
    </row>
    <row r="67" spans="2:12" ht="15.75">
      <c r="B67" s="329" t="s">
        <v>30</v>
      </c>
      <c r="C67" s="329"/>
      <c r="D67" s="329"/>
      <c r="E67" s="273" t="s">
        <v>1</v>
      </c>
      <c r="F67" s="270"/>
      <c r="L67" s="244">
        <f>3844.31-215.11</f>
        <v>3629.2</v>
      </c>
    </row>
    <row r="68" spans="2:12" ht="15">
      <c r="B68" s="250" t="s">
        <v>2</v>
      </c>
      <c r="C68" s="246" t="s">
        <v>3</v>
      </c>
      <c r="D68" s="246" t="s">
        <v>22</v>
      </c>
      <c r="E68" s="246" t="s">
        <v>4</v>
      </c>
      <c r="F68" s="270"/>
      <c r="L68" s="270"/>
    </row>
    <row r="69" spans="2:12">
      <c r="B69" s="247" t="s">
        <v>386</v>
      </c>
      <c r="C69" s="330"/>
      <c r="D69" s="331"/>
      <c r="E69" s="332"/>
    </row>
    <row r="70" spans="2:12">
      <c r="B70" s="8" t="s">
        <v>37</v>
      </c>
      <c r="C70" s="310">
        <v>172.08800000000002</v>
      </c>
      <c r="D70" s="310">
        <v>102.45</v>
      </c>
      <c r="E70" s="14">
        <f t="shared" ref="E70:E71" si="8">D70-C70</f>
        <v>-69.638000000000019</v>
      </c>
    </row>
    <row r="71" spans="2:12">
      <c r="B71" s="8" t="s">
        <v>38</v>
      </c>
      <c r="C71" s="310">
        <v>43.022000000000006</v>
      </c>
      <c r="D71" s="310">
        <v>18.07</v>
      </c>
      <c r="E71" s="14">
        <f t="shared" si="8"/>
        <v>-24.952000000000005</v>
      </c>
    </row>
    <row r="72" spans="2:12" ht="15">
      <c r="B72" s="7" t="s">
        <v>39</v>
      </c>
      <c r="C72" s="308">
        <f>C70+C71</f>
        <v>215.11</v>
      </c>
      <c r="D72" s="308">
        <f>D70+D71</f>
        <v>120.52000000000001</v>
      </c>
      <c r="E72" s="14">
        <f>D72-C72</f>
        <v>-94.59</v>
      </c>
    </row>
    <row r="73" spans="2:12">
      <c r="B73" s="10"/>
      <c r="C73" s="11"/>
      <c r="D73" s="11"/>
      <c r="E73" s="11"/>
    </row>
    <row r="75" spans="2:12" ht="15.75">
      <c r="B75" s="323" t="s">
        <v>40</v>
      </c>
      <c r="C75" s="323"/>
      <c r="D75" s="323"/>
      <c r="E75" s="243" t="s">
        <v>1</v>
      </c>
    </row>
    <row r="76" spans="2:12" ht="15">
      <c r="B76" s="7" t="s">
        <v>2</v>
      </c>
      <c r="C76" s="245" t="s">
        <v>3</v>
      </c>
      <c r="D76" s="245" t="s">
        <v>22</v>
      </c>
      <c r="E76" s="245" t="s">
        <v>4</v>
      </c>
    </row>
    <row r="77" spans="2:12">
      <c r="B77" s="8" t="s">
        <v>386</v>
      </c>
      <c r="C77" s="326"/>
      <c r="D77" s="327"/>
      <c r="E77" s="328"/>
    </row>
    <row r="78" spans="2:12" ht="14.45" customHeight="1">
      <c r="B78" s="8" t="s">
        <v>32</v>
      </c>
      <c r="C78" s="310">
        <f>C61-C70</f>
        <v>3207.9884026999998</v>
      </c>
      <c r="D78" s="312">
        <f>D61-D70</f>
        <v>3166.15</v>
      </c>
      <c r="E78" s="14">
        <f t="shared" ref="E78:E81" si="9">D78-C78</f>
        <v>-41.838402699999733</v>
      </c>
      <c r="F78" s="270"/>
    </row>
    <row r="79" spans="2:12" ht="14.45" customHeight="1">
      <c r="B79" s="8" t="s">
        <v>33</v>
      </c>
      <c r="C79" s="310">
        <f>C62-C71</f>
        <v>201.16189709999998</v>
      </c>
      <c r="D79" s="312">
        <f>D62-D71</f>
        <v>154.63</v>
      </c>
      <c r="E79" s="14">
        <f t="shared" si="9"/>
        <v>-46.531897099999981</v>
      </c>
    </row>
    <row r="80" spans="2:12">
      <c r="B80" s="8" t="s">
        <v>34</v>
      </c>
      <c r="C80" s="310">
        <f>C63</f>
        <v>220.05000000000018</v>
      </c>
      <c r="D80" s="312">
        <f>D63</f>
        <v>239.37999999999997</v>
      </c>
      <c r="E80" s="14">
        <f t="shared" si="9"/>
        <v>19.329999999999785</v>
      </c>
    </row>
    <row r="81" spans="2:12" ht="15">
      <c r="B81" s="7" t="s">
        <v>36</v>
      </c>
      <c r="C81" s="308">
        <f>SUM(C78:C80)</f>
        <v>3629.2002997999998</v>
      </c>
      <c r="D81" s="313">
        <f>SUM(D78:D80)</f>
        <v>3560.1600000000003</v>
      </c>
      <c r="E81" s="9">
        <f t="shared" si="9"/>
        <v>-69.040299799999502</v>
      </c>
    </row>
    <row r="83" spans="2:12" ht="15.75">
      <c r="B83" s="323" t="s">
        <v>7</v>
      </c>
      <c r="C83" s="323"/>
      <c r="D83" s="323"/>
      <c r="E83" s="243" t="s">
        <v>1</v>
      </c>
      <c r="G83" s="323"/>
      <c r="H83" s="323"/>
      <c r="I83" s="323"/>
      <c r="J83" s="243"/>
    </row>
    <row r="84" spans="2:12" ht="15">
      <c r="B84" s="7" t="s">
        <v>2</v>
      </c>
      <c r="C84" s="245" t="s">
        <v>3</v>
      </c>
      <c r="D84" s="246" t="s">
        <v>41</v>
      </c>
      <c r="E84" s="245" t="s">
        <v>4</v>
      </c>
      <c r="G84" s="7"/>
      <c r="H84" s="245"/>
      <c r="I84" s="246"/>
      <c r="J84" s="245"/>
    </row>
    <row r="85" spans="2:12">
      <c r="B85" s="8" t="s">
        <v>386</v>
      </c>
      <c r="C85" s="326"/>
      <c r="D85" s="327"/>
      <c r="E85" s="328"/>
      <c r="G85" s="8"/>
      <c r="H85" s="326"/>
      <c r="I85" s="327"/>
      <c r="J85" s="328"/>
    </row>
    <row r="86" spans="2:12">
      <c r="B86" s="8" t="s">
        <v>42</v>
      </c>
      <c r="C86" s="312">
        <v>1158.53</v>
      </c>
      <c r="D86" s="312">
        <v>842.13</v>
      </c>
      <c r="E86" s="318">
        <f>D86-C86</f>
        <v>-316.39999999999998</v>
      </c>
      <c r="G86" s="8"/>
      <c r="H86" s="8"/>
      <c r="I86" s="2"/>
      <c r="J86" s="15"/>
    </row>
    <row r="89" spans="2:12" ht="15.75">
      <c r="B89" s="323" t="s">
        <v>367</v>
      </c>
      <c r="C89" s="323"/>
      <c r="D89" s="323"/>
      <c r="E89" s="323"/>
      <c r="F89" s="243" t="s">
        <v>1</v>
      </c>
    </row>
    <row r="90" spans="2:12" ht="30">
      <c r="B90" s="7" t="s">
        <v>2</v>
      </c>
      <c r="C90" s="274" t="s">
        <v>43</v>
      </c>
      <c r="D90" s="274" t="s">
        <v>44</v>
      </c>
      <c r="E90" s="274" t="s">
        <v>45</v>
      </c>
      <c r="F90" s="245" t="s">
        <v>46</v>
      </c>
    </row>
    <row r="91" spans="2:12">
      <c r="B91" s="8" t="s">
        <v>386</v>
      </c>
      <c r="C91" s="326"/>
      <c r="D91" s="327"/>
      <c r="E91" s="327"/>
      <c r="F91" s="328"/>
    </row>
    <row r="92" spans="2:12">
      <c r="B92" s="8" t="s">
        <v>47</v>
      </c>
      <c r="C92" s="316">
        <v>4575.9168337660003</v>
      </c>
      <c r="D92" s="316">
        <v>4371.4542627270002</v>
      </c>
      <c r="E92" s="319">
        <v>449.41</v>
      </c>
      <c r="F92" s="317">
        <f>E92/AVERAGE(C92:D92)</f>
        <v>0.10045632290274631</v>
      </c>
    </row>
    <row r="93" spans="2:12" ht="15">
      <c r="B93" s="10"/>
      <c r="C93" s="276"/>
      <c r="D93" s="276"/>
      <c r="E93" s="277"/>
      <c r="F93" s="278"/>
      <c r="L93" s="279"/>
    </row>
    <row r="94" spans="2:12">
      <c r="F94" s="278"/>
    </row>
    <row r="95" spans="2:12" ht="15">
      <c r="B95" s="7" t="s">
        <v>2</v>
      </c>
      <c r="C95" s="245" t="s">
        <v>3</v>
      </c>
      <c r="D95" s="245" t="s">
        <v>22</v>
      </c>
      <c r="E95" s="245" t="s">
        <v>4</v>
      </c>
    </row>
    <row r="96" spans="2:12">
      <c r="B96" s="8" t="s">
        <v>386</v>
      </c>
      <c r="C96" s="324"/>
      <c r="D96" s="324"/>
      <c r="E96" s="324"/>
    </row>
    <row r="97" spans="2:12">
      <c r="B97" s="8" t="s">
        <v>48</v>
      </c>
      <c r="C97" s="280">
        <v>0.75</v>
      </c>
      <c r="D97" s="275">
        <v>0.75</v>
      </c>
      <c r="E97" s="275">
        <f t="shared" ref="E97:E101" si="10">D97-C97</f>
        <v>0</v>
      </c>
    </row>
    <row r="98" spans="2:12">
      <c r="B98" s="8" t="s">
        <v>49</v>
      </c>
      <c r="C98" s="280">
        <v>0.25</v>
      </c>
      <c r="D98" s="275">
        <v>0.25</v>
      </c>
      <c r="E98" s="275">
        <f t="shared" si="10"/>
        <v>0</v>
      </c>
    </row>
    <row r="99" spans="2:12">
      <c r="B99" s="8" t="s">
        <v>46</v>
      </c>
      <c r="C99" s="281">
        <v>9.8500000000000004E-2</v>
      </c>
      <c r="D99" s="275">
        <f>F92</f>
        <v>0.10045632290274631</v>
      </c>
      <c r="E99" s="275">
        <f t="shared" si="10"/>
        <v>1.9563229027463047E-3</v>
      </c>
    </row>
    <row r="100" spans="2:12">
      <c r="B100" s="8" t="s">
        <v>50</v>
      </c>
      <c r="C100" s="280">
        <v>0.14000000000000001</v>
      </c>
      <c r="D100" s="275">
        <v>0.14000000000000001</v>
      </c>
      <c r="E100" s="275">
        <f t="shared" si="10"/>
        <v>0</v>
      </c>
    </row>
    <row r="101" spans="2:12" ht="15">
      <c r="B101" s="7" t="s">
        <v>51</v>
      </c>
      <c r="C101" s="282">
        <v>0.108875</v>
      </c>
      <c r="D101" s="283">
        <f>D97*D99+D98*D100</f>
        <v>0.11034224217705974</v>
      </c>
      <c r="E101" s="283">
        <f t="shared" si="10"/>
        <v>1.4672421770597355E-3</v>
      </c>
    </row>
    <row r="103" spans="2:12" ht="15.75">
      <c r="B103" s="323" t="s">
        <v>52</v>
      </c>
      <c r="C103" s="323"/>
      <c r="D103" s="323"/>
      <c r="E103" s="243" t="s">
        <v>1</v>
      </c>
      <c r="G103" s="323"/>
      <c r="H103" s="323"/>
      <c r="I103" s="323"/>
      <c r="J103" s="243"/>
    </row>
    <row r="104" spans="2:12" ht="15">
      <c r="B104" s="7" t="s">
        <v>2</v>
      </c>
      <c r="C104" s="245" t="s">
        <v>3</v>
      </c>
      <c r="D104" s="246" t="s">
        <v>41</v>
      </c>
      <c r="E104" s="245" t="s">
        <v>4</v>
      </c>
      <c r="G104" s="7"/>
      <c r="H104" s="245"/>
      <c r="I104" s="246"/>
      <c r="J104" s="245"/>
    </row>
    <row r="105" spans="2:12">
      <c r="B105" s="8" t="s">
        <v>386</v>
      </c>
      <c r="C105" s="326"/>
      <c r="D105" s="327"/>
      <c r="E105" s="328"/>
      <c r="G105" s="8"/>
      <c r="H105" s="326"/>
      <c r="I105" s="327"/>
      <c r="J105" s="328"/>
    </row>
    <row r="106" spans="2:12" ht="15">
      <c r="B106" s="284" t="s">
        <v>53</v>
      </c>
      <c r="C106" s="104">
        <f>C107+C108</f>
        <v>22196.49</v>
      </c>
      <c r="D106" s="104">
        <f>SUM(D107:D108)</f>
        <v>22196.41</v>
      </c>
      <c r="E106" s="104">
        <f>D106-C106</f>
        <v>-8.000000000174623E-2</v>
      </c>
      <c r="F106" s="285"/>
      <c r="G106" s="7"/>
      <c r="H106" s="12"/>
      <c r="I106" s="12"/>
      <c r="J106" s="13"/>
    </row>
    <row r="107" spans="2:12" ht="15">
      <c r="B107" s="286" t="s">
        <v>54</v>
      </c>
      <c r="C107" s="287">
        <v>19722.59</v>
      </c>
      <c r="D107" s="288">
        <v>20432.890000000003</v>
      </c>
      <c r="E107" s="174">
        <f>D107-C107</f>
        <v>710.30000000000291</v>
      </c>
      <c r="G107" s="269"/>
      <c r="H107" s="2"/>
      <c r="I107" s="2"/>
      <c r="J107" s="15"/>
    </row>
    <row r="108" spans="2:12" ht="15">
      <c r="B108" s="286" t="s">
        <v>55</v>
      </c>
      <c r="C108" s="287">
        <v>2473.9</v>
      </c>
      <c r="D108" s="288">
        <v>1763.5199999999984</v>
      </c>
      <c r="E108" s="174">
        <f>D108-C108</f>
        <v>-710.3800000000017</v>
      </c>
      <c r="G108" s="269"/>
      <c r="H108" s="2"/>
      <c r="I108" s="2"/>
      <c r="J108" s="15"/>
    </row>
    <row r="109" spans="2:12" ht="15">
      <c r="B109" s="284" t="s">
        <v>7</v>
      </c>
      <c r="C109" s="104">
        <f>C110+C111</f>
        <v>6950.19</v>
      </c>
      <c r="D109" s="104">
        <f>SUM(D110:D111)</f>
        <v>7450.5599999999995</v>
      </c>
      <c r="E109" s="104">
        <f t="shared" ref="E109:E116" si="11">D109-C109</f>
        <v>500.36999999999989</v>
      </c>
      <c r="G109" s="7"/>
      <c r="H109" s="12"/>
      <c r="I109" s="12"/>
      <c r="J109" s="13"/>
    </row>
    <row r="110" spans="2:12" ht="15">
      <c r="B110" s="286" t="s">
        <v>43</v>
      </c>
      <c r="C110" s="287">
        <v>5791.66</v>
      </c>
      <c r="D110" s="288">
        <v>6621.11</v>
      </c>
      <c r="E110" s="174">
        <f t="shared" si="11"/>
        <v>829.44999999999982</v>
      </c>
      <c r="G110" s="269"/>
      <c r="H110" s="2"/>
      <c r="I110" s="2"/>
      <c r="J110" s="15"/>
      <c r="K110" s="270"/>
    </row>
    <row r="111" spans="2:12" ht="15">
      <c r="B111" s="286" t="s">
        <v>56</v>
      </c>
      <c r="C111" s="287">
        <v>1158.53</v>
      </c>
      <c r="D111" s="288">
        <v>829.44999999999993</v>
      </c>
      <c r="E111" s="174">
        <f t="shared" si="11"/>
        <v>-329.08000000000004</v>
      </c>
      <c r="G111" s="269"/>
      <c r="H111" s="2"/>
      <c r="I111" s="2"/>
      <c r="J111" s="15"/>
      <c r="L111" s="289"/>
    </row>
    <row r="112" spans="2:12" ht="15">
      <c r="B112" s="284" t="s">
        <v>57</v>
      </c>
      <c r="C112" s="104">
        <f>C113+C114-C115</f>
        <v>10114.199999999997</v>
      </c>
      <c r="D112" s="104">
        <f>SUM(D113:D115)</f>
        <v>10117.82</v>
      </c>
      <c r="E112" s="104">
        <f t="shared" si="11"/>
        <v>3.6200000000026193</v>
      </c>
      <c r="G112" s="7"/>
      <c r="H112" s="12"/>
      <c r="I112" s="12"/>
      <c r="J112" s="13"/>
    </row>
    <row r="113" spans="2:10" ht="15">
      <c r="B113" s="286" t="s">
        <v>58</v>
      </c>
      <c r="C113" s="287">
        <v>8956.4</v>
      </c>
      <c r="D113" s="288">
        <v>8960.02</v>
      </c>
      <c r="E113" s="174">
        <f t="shared" si="11"/>
        <v>3.6200000000008004</v>
      </c>
      <c r="G113" s="269"/>
      <c r="H113" s="2"/>
      <c r="I113" s="2"/>
      <c r="J113" s="15"/>
    </row>
    <row r="114" spans="2:10" ht="15">
      <c r="B114" s="286" t="s">
        <v>59</v>
      </c>
      <c r="C114" s="287">
        <v>1157.7999999999984</v>
      </c>
      <c r="D114" s="288">
        <v>1157.7999999999984</v>
      </c>
      <c r="E114" s="174">
        <f t="shared" si="11"/>
        <v>0</v>
      </c>
      <c r="G114" s="269"/>
      <c r="H114" s="2"/>
      <c r="I114" s="2"/>
      <c r="J114" s="15"/>
    </row>
    <row r="115" spans="2:10" ht="15">
      <c r="B115" s="286" t="s">
        <v>60</v>
      </c>
      <c r="C115" s="287">
        <v>0</v>
      </c>
      <c r="D115" s="288">
        <v>0</v>
      </c>
      <c r="E115" s="174">
        <f t="shared" si="11"/>
        <v>0</v>
      </c>
      <c r="G115" s="269"/>
      <c r="H115" s="2"/>
      <c r="I115" s="2"/>
      <c r="J115" s="15"/>
    </row>
    <row r="116" spans="2:10" ht="15">
      <c r="B116" s="284" t="s">
        <v>61</v>
      </c>
      <c r="C116" s="104">
        <f>C81/12</f>
        <v>302.43335831666667</v>
      </c>
      <c r="D116" s="104">
        <f>D4/12</f>
        <v>296.68</v>
      </c>
      <c r="E116" s="104">
        <f t="shared" si="11"/>
        <v>-5.7533583166666631</v>
      </c>
      <c r="F116" s="290">
        <f>C4/12</f>
        <v>302.43335831666667</v>
      </c>
      <c r="G116" s="7"/>
      <c r="H116" s="12"/>
      <c r="I116" s="12"/>
      <c r="J116" s="13"/>
    </row>
    <row r="117" spans="2:10" ht="15">
      <c r="B117" s="284" t="s">
        <v>62</v>
      </c>
      <c r="C117" s="104">
        <f>(C108-C111-C114)/2</f>
        <v>78.785000000000878</v>
      </c>
      <c r="D117" s="104">
        <f>(D108-D111-D114)/2</f>
        <v>-111.86499999999995</v>
      </c>
      <c r="E117" s="104">
        <f>D117-C117</f>
        <v>-190.65000000000083</v>
      </c>
      <c r="F117" s="291">
        <f>F116-C116</f>
        <v>0</v>
      </c>
      <c r="G117" s="7"/>
      <c r="H117" s="12"/>
      <c r="I117" s="12"/>
      <c r="J117" s="13"/>
    </row>
    <row r="118" spans="2:10" ht="15">
      <c r="B118" s="284" t="s">
        <v>63</v>
      </c>
      <c r="C118" s="104">
        <f>C107-C110-C113+C116+C117</f>
        <v>5355.7483583166677</v>
      </c>
      <c r="D118" s="104">
        <f>D107-D110-D113+D116+D117</f>
        <v>5036.5750000000025</v>
      </c>
      <c r="E118" s="104">
        <f>D118-C118</f>
        <v>-319.17335831666514</v>
      </c>
      <c r="G118" s="7"/>
      <c r="H118" s="12"/>
      <c r="I118" s="12"/>
      <c r="J118" s="13"/>
    </row>
    <row r="119" spans="2:10">
      <c r="C119" s="244">
        <v>8565.02</v>
      </c>
      <c r="D119" s="270"/>
    </row>
    <row r="120" spans="2:10">
      <c r="C120" s="270">
        <f>C119-C118</f>
        <v>3209.2716416833327</v>
      </c>
    </row>
    <row r="121" spans="2:10" ht="15.75">
      <c r="B121" s="323" t="s">
        <v>6</v>
      </c>
      <c r="C121" s="323"/>
      <c r="D121" s="323"/>
      <c r="E121" s="243" t="s">
        <v>1</v>
      </c>
      <c r="G121" s="323"/>
      <c r="H121" s="323"/>
      <c r="I121" s="323"/>
      <c r="J121" s="243"/>
    </row>
    <row r="122" spans="2:10" ht="15">
      <c r="B122" s="7" t="s">
        <v>2</v>
      </c>
      <c r="C122" s="245" t="s">
        <v>3</v>
      </c>
      <c r="D122" s="246" t="s">
        <v>41</v>
      </c>
      <c r="E122" s="245" t="s">
        <v>4</v>
      </c>
      <c r="G122" s="7"/>
      <c r="H122" s="245"/>
      <c r="I122" s="246"/>
      <c r="J122" s="245"/>
    </row>
    <row r="123" spans="2:10">
      <c r="B123" s="8" t="s">
        <v>386</v>
      </c>
      <c r="C123" s="326"/>
      <c r="D123" s="327"/>
      <c r="E123" s="328"/>
      <c r="G123" s="8"/>
      <c r="H123" s="326"/>
      <c r="I123" s="327"/>
      <c r="J123" s="328"/>
    </row>
    <row r="124" spans="2:10" ht="15">
      <c r="B124" s="8" t="s">
        <v>64</v>
      </c>
      <c r="C124" s="185">
        <f>C118*F92</f>
        <v>538.01878646891259</v>
      </c>
      <c r="D124" s="185">
        <f>D118*D101</f>
        <v>555.74697839292492</v>
      </c>
      <c r="E124" s="185">
        <f t="shared" ref="E124" si="12">D124-C124</f>
        <v>17.728191924012322</v>
      </c>
      <c r="G124" s="8"/>
      <c r="H124" s="2"/>
      <c r="I124" s="2"/>
      <c r="J124" s="15"/>
    </row>
    <row r="127" spans="2:10" ht="15.75">
      <c r="B127" s="323" t="s">
        <v>10</v>
      </c>
      <c r="C127" s="323"/>
      <c r="D127" s="323"/>
      <c r="E127" s="243" t="s">
        <v>1</v>
      </c>
    </row>
    <row r="128" spans="2:10" ht="15">
      <c r="B128" s="7" t="s">
        <v>2</v>
      </c>
      <c r="C128" s="245" t="s">
        <v>3</v>
      </c>
      <c r="D128" s="246" t="s">
        <v>22</v>
      </c>
      <c r="E128" s="245" t="s">
        <v>4</v>
      </c>
    </row>
    <row r="129" spans="2:11">
      <c r="B129" s="8" t="s">
        <v>386</v>
      </c>
      <c r="C129" s="324"/>
      <c r="D129" s="324"/>
      <c r="E129" s="324"/>
    </row>
    <row r="130" spans="2:11" ht="15">
      <c r="B130" s="8"/>
      <c r="C130" s="174">
        <v>0</v>
      </c>
      <c r="D130" s="174">
        <f>C145</f>
        <v>22.78</v>
      </c>
      <c r="E130" s="174">
        <f t="shared" ref="E130:E132" si="13">D130-C130</f>
        <v>22.78</v>
      </c>
      <c r="K130" s="292"/>
    </row>
    <row r="131" spans="2:11" ht="15">
      <c r="B131" s="8"/>
      <c r="C131" s="14"/>
      <c r="D131" s="14"/>
      <c r="E131" s="14"/>
      <c r="K131" s="292"/>
    </row>
    <row r="132" spans="2:11" ht="15">
      <c r="B132" s="7" t="s">
        <v>65</v>
      </c>
      <c r="C132" s="104">
        <v>0</v>
      </c>
      <c r="D132" s="104">
        <f>SUM(D130:D131)</f>
        <v>22.78</v>
      </c>
      <c r="E132" s="104">
        <f t="shared" si="13"/>
        <v>22.78</v>
      </c>
      <c r="K132" s="292"/>
    </row>
    <row r="134" spans="2:11" ht="15.75">
      <c r="B134" s="323" t="s">
        <v>67</v>
      </c>
      <c r="C134" s="323"/>
      <c r="D134" s="323"/>
      <c r="E134" s="243" t="s">
        <v>1</v>
      </c>
    </row>
    <row r="135" spans="2:11" ht="15">
      <c r="B135" s="7" t="s">
        <v>2</v>
      </c>
      <c r="C135" s="245" t="s">
        <v>3</v>
      </c>
      <c r="D135" s="246" t="s">
        <v>68</v>
      </c>
      <c r="E135" s="245" t="s">
        <v>4</v>
      </c>
    </row>
    <row r="136" spans="2:11">
      <c r="B136" s="8" t="s">
        <v>386</v>
      </c>
      <c r="C136" s="324"/>
      <c r="D136" s="324"/>
      <c r="E136" s="324"/>
    </row>
    <row r="137" spans="2:11">
      <c r="B137" s="8" t="s">
        <v>353</v>
      </c>
      <c r="C137" s="294">
        <v>20</v>
      </c>
      <c r="D137" s="294">
        <v>5.25</v>
      </c>
      <c r="E137" s="14">
        <f t="shared" ref="E137:E139" si="14">D137-C137</f>
        <v>-14.75</v>
      </c>
    </row>
    <row r="138" spans="2:11">
      <c r="B138" s="8"/>
      <c r="C138" s="294"/>
      <c r="D138" s="294"/>
      <c r="E138" s="14"/>
    </row>
    <row r="139" spans="2:11" ht="15">
      <c r="B139" s="7" t="s">
        <v>65</v>
      </c>
      <c r="C139" s="9">
        <v>20</v>
      </c>
      <c r="D139" s="9">
        <f>D137</f>
        <v>5.25</v>
      </c>
      <c r="E139" s="9">
        <f t="shared" si="14"/>
        <v>-14.75</v>
      </c>
    </row>
    <row r="141" spans="2:11" ht="15">
      <c r="B141" s="325" t="s">
        <v>418</v>
      </c>
      <c r="C141" s="325"/>
    </row>
    <row r="142" spans="2:11" ht="15">
      <c r="B142" s="295" t="s">
        <v>2</v>
      </c>
      <c r="C142" s="295" t="s">
        <v>69</v>
      </c>
    </row>
    <row r="143" spans="2:11" ht="17.25" thickBot="1">
      <c r="B143" s="298" t="s">
        <v>372</v>
      </c>
      <c r="C143" s="299">
        <v>20.2</v>
      </c>
    </row>
    <row r="144" spans="2:11" ht="17.25" thickBot="1">
      <c r="B144" s="298" t="s">
        <v>70</v>
      </c>
      <c r="C144" s="299">
        <v>2.58</v>
      </c>
    </row>
    <row r="145" spans="2:4" ht="15">
      <c r="B145" s="295" t="s">
        <v>65</v>
      </c>
      <c r="C145" s="295">
        <f>SUM(C143:C144)</f>
        <v>22.78</v>
      </c>
      <c r="D145" s="290" t="s">
        <v>370</v>
      </c>
    </row>
    <row r="146" spans="2:4" ht="15" thickBot="1"/>
    <row r="147" spans="2:4" ht="15.75" thickBot="1">
      <c r="B147" s="296" t="s">
        <v>2</v>
      </c>
      <c r="C147" s="297" t="s">
        <v>416</v>
      </c>
    </row>
    <row r="148" spans="2:4" ht="17.25" thickBot="1">
      <c r="B148" s="298" t="s">
        <v>373</v>
      </c>
      <c r="C148" s="299">
        <v>4.38</v>
      </c>
    </row>
    <row r="149" spans="2:4" ht="17.25" thickBot="1">
      <c r="B149" s="298" t="s">
        <v>374</v>
      </c>
      <c r="C149" s="299">
        <v>184.66</v>
      </c>
    </row>
    <row r="150" spans="2:4" ht="17.25" thickBot="1">
      <c r="B150" s="298" t="s">
        <v>375</v>
      </c>
      <c r="C150" s="299">
        <v>2.72</v>
      </c>
    </row>
    <row r="151" spans="2:4" ht="17.25" thickBot="1">
      <c r="B151" s="298" t="s">
        <v>376</v>
      </c>
      <c r="C151" s="299">
        <f>C152-(C148+C149+C150)</f>
        <v>47.620000000000005</v>
      </c>
    </row>
    <row r="152" spans="2:4" ht="15.75" thickBot="1">
      <c r="B152" s="300" t="s">
        <v>65</v>
      </c>
      <c r="C152" s="301">
        <v>239.38</v>
      </c>
    </row>
    <row r="154" spans="2:4" ht="15.75" thickBot="1">
      <c r="B154" s="303" t="s">
        <v>377</v>
      </c>
    </row>
    <row r="155" spans="2:4" ht="15.75" thickBot="1">
      <c r="B155" s="296" t="s">
        <v>2</v>
      </c>
      <c r="C155" s="297" t="s">
        <v>417</v>
      </c>
    </row>
    <row r="156" spans="2:4" ht="17.25" thickBot="1">
      <c r="B156" s="302" t="s">
        <v>392</v>
      </c>
      <c r="C156" s="301">
        <v>0.4</v>
      </c>
    </row>
    <row r="157" spans="2:4" ht="17.25" thickBot="1">
      <c r="B157" s="302" t="s">
        <v>393</v>
      </c>
      <c r="C157" s="301">
        <v>0</v>
      </c>
    </row>
    <row r="158" spans="2:4" ht="17.25" thickBot="1">
      <c r="B158" s="302" t="s">
        <v>394</v>
      </c>
      <c r="C158" s="301">
        <v>1.7</v>
      </c>
    </row>
    <row r="159" spans="2:4" ht="17.25" thickBot="1">
      <c r="B159" s="302" t="s">
        <v>395</v>
      </c>
      <c r="C159" s="301"/>
    </row>
    <row r="160" spans="2:4" ht="33.75" thickBot="1">
      <c r="B160" s="302" t="s">
        <v>396</v>
      </c>
      <c r="C160" s="301">
        <v>0.02</v>
      </c>
    </row>
    <row r="161" spans="2:3" ht="17.25" thickBot="1">
      <c r="B161" s="302" t="s">
        <v>397</v>
      </c>
      <c r="C161" s="301">
        <v>0.01</v>
      </c>
    </row>
    <row r="162" spans="2:3" ht="17.25" thickBot="1">
      <c r="B162" s="302" t="s">
        <v>398</v>
      </c>
      <c r="C162" s="301">
        <v>7.11</v>
      </c>
    </row>
    <row r="163" spans="2:3" ht="33.75" thickBot="1">
      <c r="B163" s="302" t="s">
        <v>399</v>
      </c>
      <c r="C163" s="301">
        <v>0.06</v>
      </c>
    </row>
    <row r="164" spans="2:3" ht="50.25" thickBot="1">
      <c r="B164" s="302" t="s">
        <v>403</v>
      </c>
      <c r="C164" s="301">
        <v>0.61</v>
      </c>
    </row>
    <row r="165" spans="2:3" ht="17.25" thickBot="1">
      <c r="B165" s="302" t="s">
        <v>404</v>
      </c>
      <c r="C165" s="301">
        <v>116.21</v>
      </c>
    </row>
    <row r="166" spans="2:3" ht="17.25" thickBot="1">
      <c r="B166" s="302" t="s">
        <v>400</v>
      </c>
      <c r="C166" s="301">
        <v>0</v>
      </c>
    </row>
    <row r="167" spans="2:3" ht="17.25" thickBot="1">
      <c r="B167" s="302" t="s">
        <v>401</v>
      </c>
      <c r="C167" s="301">
        <v>0.28999999999999998</v>
      </c>
    </row>
    <row r="168" spans="2:3" ht="17.25" thickBot="1">
      <c r="B168" s="302" t="s">
        <v>402</v>
      </c>
      <c r="C168" s="301">
        <v>1.8299999999999901</v>
      </c>
    </row>
    <row r="169" spans="2:3" ht="15.75" thickBot="1">
      <c r="B169" s="320" t="s">
        <v>65</v>
      </c>
      <c r="C169" s="301">
        <f>SUM(C156:C168)</f>
        <v>128.23999999999998</v>
      </c>
    </row>
    <row r="170" spans="2:3" ht="17.25" thickBot="1">
      <c r="B170" s="304" t="s">
        <v>66</v>
      </c>
      <c r="C170" s="307">
        <v>328.16</v>
      </c>
    </row>
    <row r="171" spans="2:3" ht="15.75" thickBot="1">
      <c r="B171" s="305" t="s">
        <v>377</v>
      </c>
      <c r="C171" s="306">
        <f>C169+C170</f>
        <v>456.4</v>
      </c>
    </row>
  </sheetData>
  <mergeCells count="42">
    <mergeCell ref="B1:D1"/>
    <mergeCell ref="G1:I1"/>
    <mergeCell ref="C3:E3"/>
    <mergeCell ref="H3:J3"/>
    <mergeCell ref="B14:E14"/>
    <mergeCell ref="G14:J14"/>
    <mergeCell ref="C59:E59"/>
    <mergeCell ref="B23:D23"/>
    <mergeCell ref="C25:E25"/>
    <mergeCell ref="B29:D29"/>
    <mergeCell ref="C31:E31"/>
    <mergeCell ref="B35:D35"/>
    <mergeCell ref="C37:E37"/>
    <mergeCell ref="B41:D41"/>
    <mergeCell ref="C43:E43"/>
    <mergeCell ref="B47:D47"/>
    <mergeCell ref="C49:E49"/>
    <mergeCell ref="B57:D57"/>
    <mergeCell ref="B103:D103"/>
    <mergeCell ref="G103:I103"/>
    <mergeCell ref="B67:D67"/>
    <mergeCell ref="C69:E69"/>
    <mergeCell ref="B75:D75"/>
    <mergeCell ref="C77:E77"/>
    <mergeCell ref="B83:D83"/>
    <mergeCell ref="G83:I83"/>
    <mergeCell ref="C85:E85"/>
    <mergeCell ref="H85:J85"/>
    <mergeCell ref="B89:E89"/>
    <mergeCell ref="C91:F91"/>
    <mergeCell ref="C96:E96"/>
    <mergeCell ref="C105:E105"/>
    <mergeCell ref="H105:J105"/>
    <mergeCell ref="B121:D121"/>
    <mergeCell ref="G121:I121"/>
    <mergeCell ref="C123:E123"/>
    <mergeCell ref="H123:J123"/>
    <mergeCell ref="B127:D127"/>
    <mergeCell ref="C129:E129"/>
    <mergeCell ref="B134:D134"/>
    <mergeCell ref="C136:E136"/>
    <mergeCell ref="B141:C141"/>
  </mergeCells>
  <dataValidations count="1">
    <dataValidation type="decimal" allowBlank="1" showInputMessage="1" showErrorMessage="1" sqref="C110:D111 C107:D108 C113:D115">
      <formula1>-1E+23</formula1>
      <formula2>1E+26</formula2>
    </dataValidation>
  </dataValidations>
  <pageMargins left="0.7" right="0.7" top="0.75" bottom="0.75" header="0.3" footer="0.3"/>
  <pageSetup paperSize="9" scale="75" orientation="portrait" r:id="rId1"/>
  <rowBreaks count="3" manualBreakCount="3">
    <brk id="21" min="1" max="5" man="1"/>
    <brk id="88" min="1" max="5" man="1"/>
    <brk id="153" min="1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30" sqref="A30"/>
    </sheetView>
  </sheetViews>
  <sheetFormatPr defaultRowHeight="15"/>
  <cols>
    <col min="1" max="1" width="52.7109375" bestFit="1" customWidth="1"/>
    <col min="2" max="2" width="25.5703125" bestFit="1" customWidth="1"/>
    <col min="3" max="3" width="18.7109375" bestFit="1" customWidth="1"/>
    <col min="4" max="4" width="26.28515625" bestFit="1" customWidth="1"/>
    <col min="5" max="5" width="12" bestFit="1" customWidth="1"/>
    <col min="6" max="6" width="23.7109375" bestFit="1" customWidth="1"/>
  </cols>
  <sheetData>
    <row r="1" spans="1:10">
      <c r="A1" s="16" t="s">
        <v>360</v>
      </c>
      <c r="B1" s="103" t="s">
        <v>363</v>
      </c>
      <c r="C1" s="6" t="s">
        <v>358</v>
      </c>
      <c r="D1" s="6" t="s">
        <v>359</v>
      </c>
    </row>
    <row r="2" spans="1:10">
      <c r="A2" s="6" t="s">
        <v>354</v>
      </c>
      <c r="B2" s="182">
        <v>8631833</v>
      </c>
      <c r="C2" s="182">
        <v>1922</v>
      </c>
      <c r="D2" s="103">
        <f>B2*C2</f>
        <v>16590383026</v>
      </c>
    </row>
    <row r="3" spans="1:10">
      <c r="A3" s="6" t="s">
        <v>355</v>
      </c>
      <c r="B3" s="182">
        <v>20373</v>
      </c>
      <c r="C3" s="182">
        <v>357467</v>
      </c>
      <c r="D3" s="103">
        <f>B3*C3</f>
        <v>7282675191</v>
      </c>
    </row>
    <row r="4" spans="1:10">
      <c r="A4" s="6" t="s">
        <v>356</v>
      </c>
      <c r="B4" s="182">
        <v>6822</v>
      </c>
      <c r="C4" s="182">
        <v>491095</v>
      </c>
      <c r="D4" s="103">
        <f>B4*C4</f>
        <v>3350250090</v>
      </c>
    </row>
    <row r="5" spans="1:10">
      <c r="A5" s="6" t="s">
        <v>357</v>
      </c>
      <c r="B5" s="182">
        <v>680</v>
      </c>
      <c r="C5" s="182">
        <v>9672729</v>
      </c>
      <c r="D5" s="103">
        <f>B5*C5</f>
        <v>6577455720</v>
      </c>
    </row>
    <row r="6" spans="1:10">
      <c r="A6" s="340" t="s">
        <v>361</v>
      </c>
      <c r="B6" s="341"/>
      <c r="C6" s="342"/>
      <c r="D6" s="103">
        <f>SUM(D2:D5)</f>
        <v>33800764027</v>
      </c>
      <c r="E6" s="183">
        <f>D6/10^7</f>
        <v>3380.0764027</v>
      </c>
    </row>
    <row r="9" spans="1:10">
      <c r="A9" s="16" t="s">
        <v>362</v>
      </c>
      <c r="B9" s="103" t="s">
        <v>363</v>
      </c>
      <c r="C9" s="6" t="s">
        <v>358</v>
      </c>
      <c r="D9" s="6" t="s">
        <v>359</v>
      </c>
    </row>
    <row r="10" spans="1:10">
      <c r="A10" s="6" t="s">
        <v>354</v>
      </c>
      <c r="B10" s="182">
        <v>623942</v>
      </c>
      <c r="C10" s="182">
        <v>1922</v>
      </c>
      <c r="D10" s="103">
        <f>B10*C10</f>
        <v>1199216524</v>
      </c>
    </row>
    <row r="11" spans="1:10">
      <c r="A11" s="6" t="s">
        <v>355</v>
      </c>
      <c r="B11" s="182">
        <v>1473</v>
      </c>
      <c r="C11" s="182">
        <v>357467</v>
      </c>
      <c r="D11" s="103">
        <f>B11*C11</f>
        <v>526548891</v>
      </c>
    </row>
    <row r="12" spans="1:10">
      <c r="A12" s="6" t="s">
        <v>356</v>
      </c>
      <c r="B12" s="182">
        <v>493</v>
      </c>
      <c r="C12" s="182">
        <v>491095</v>
      </c>
      <c r="D12" s="103">
        <f>B12*C12</f>
        <v>242109835</v>
      </c>
    </row>
    <row r="13" spans="1:10">
      <c r="A13" s="6" t="s">
        <v>357</v>
      </c>
      <c r="B13" s="182">
        <v>49</v>
      </c>
      <c r="C13" s="182">
        <v>9672729</v>
      </c>
      <c r="D13" s="103">
        <f>B13*C13</f>
        <v>473963721</v>
      </c>
    </row>
    <row r="14" spans="1:10">
      <c r="A14" s="340" t="s">
        <v>361</v>
      </c>
      <c r="B14" s="341"/>
      <c r="C14" s="342"/>
      <c r="D14" s="103">
        <f>SUM(D10:D13)</f>
        <v>2441838971</v>
      </c>
      <c r="E14" s="183">
        <f>D14/10^7</f>
        <v>244.1838971</v>
      </c>
      <c r="H14" s="1">
        <v>3518.26</v>
      </c>
      <c r="I14">
        <v>3097.72</v>
      </c>
      <c r="J14">
        <f>H14-I14-E14</f>
        <v>176.35610290000042</v>
      </c>
    </row>
    <row r="16" spans="1:10">
      <c r="A16" s="16" t="s">
        <v>364</v>
      </c>
    </row>
    <row r="17" spans="1:3">
      <c r="A17" t="s">
        <v>365</v>
      </c>
      <c r="B17" s="175">
        <v>1.01E-2</v>
      </c>
      <c r="C17">
        <v>1.01</v>
      </c>
    </row>
    <row r="18" spans="1:3">
      <c r="A18" t="s">
        <v>379</v>
      </c>
      <c r="B18" s="176">
        <f>'Note 11 Fixed Assests 23-24'!D28</f>
        <v>20432.890000000003</v>
      </c>
    </row>
    <row r="19" spans="1:3">
      <c r="A19" t="s">
        <v>366</v>
      </c>
      <c r="B19" s="176">
        <f>B18*B17</f>
        <v>206.37218900000002</v>
      </c>
      <c r="C19">
        <v>220.05</v>
      </c>
    </row>
    <row r="20" spans="1:3">
      <c r="C20">
        <f>C19*100</f>
        <v>22005</v>
      </c>
    </row>
    <row r="21" spans="1:3">
      <c r="A21" s="183" t="s">
        <v>390</v>
      </c>
      <c r="B21" s="183"/>
      <c r="C21" s="183">
        <f>C20/1.01</f>
        <v>21787.128712871287</v>
      </c>
    </row>
    <row r="22" spans="1:3">
      <c r="A22" t="s">
        <v>388</v>
      </c>
    </row>
    <row r="23" spans="1:3">
      <c r="A23" t="s">
        <v>387</v>
      </c>
      <c r="B23">
        <v>197.22</v>
      </c>
    </row>
    <row r="24" spans="1:3">
      <c r="A24" t="s">
        <v>365</v>
      </c>
      <c r="B24" s="175">
        <v>1.01E-2</v>
      </c>
    </row>
    <row r="25" spans="1:3">
      <c r="B25">
        <f>B23*100</f>
        <v>19722</v>
      </c>
    </row>
    <row r="26" spans="1:3">
      <c r="A26" t="s">
        <v>389</v>
      </c>
      <c r="B26">
        <f>B25/1.01</f>
        <v>19526.732673267328</v>
      </c>
    </row>
  </sheetData>
  <mergeCells count="2">
    <mergeCell ref="A6:C6"/>
    <mergeCell ref="A14:C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workbookViewId="0">
      <selection activeCell="B85" sqref="B85"/>
    </sheetView>
  </sheetViews>
  <sheetFormatPr defaultRowHeight="15"/>
  <cols>
    <col min="1" max="1" width="9.42578125" customWidth="1"/>
    <col min="2" max="2" width="11.85546875" customWidth="1"/>
    <col min="3" max="3" width="13.42578125" customWidth="1"/>
    <col min="4" max="4" width="11" customWidth="1"/>
    <col min="5" max="5" width="14.42578125" customWidth="1"/>
  </cols>
  <sheetData>
    <row r="1" spans="1:5" ht="30.75" customHeight="1">
      <c r="A1" s="343" t="s">
        <v>419</v>
      </c>
      <c r="B1" s="343"/>
      <c r="C1" s="343"/>
      <c r="D1" s="343"/>
      <c r="E1" s="343"/>
    </row>
    <row r="2" spans="1:5" s="17" customFormat="1">
      <c r="A2" s="321" t="s">
        <v>405</v>
      </c>
      <c r="B2" s="321" t="s">
        <v>406</v>
      </c>
      <c r="C2" s="321" t="s">
        <v>407</v>
      </c>
      <c r="D2" s="321" t="s">
        <v>408</v>
      </c>
      <c r="E2" s="321" t="s">
        <v>65</v>
      </c>
    </row>
    <row r="3" spans="1:5">
      <c r="A3" s="102">
        <v>1</v>
      </c>
      <c r="B3" s="6" t="s">
        <v>76</v>
      </c>
      <c r="C3" s="314">
        <v>2615242.08</v>
      </c>
      <c r="D3" s="314"/>
      <c r="E3" s="314">
        <f>C3+D3</f>
        <v>2615242.08</v>
      </c>
    </row>
    <row r="4" spans="1:5">
      <c r="A4" s="102">
        <v>2</v>
      </c>
      <c r="B4" s="6" t="s">
        <v>79</v>
      </c>
      <c r="C4" s="314">
        <v>3023873.7599999993</v>
      </c>
      <c r="D4" s="314"/>
      <c r="E4" s="314">
        <f t="shared" ref="E4:E67" si="0">C4+D4</f>
        <v>3023873.7599999993</v>
      </c>
    </row>
    <row r="5" spans="1:5">
      <c r="A5" s="102">
        <v>3</v>
      </c>
      <c r="B5" s="6" t="s">
        <v>80</v>
      </c>
      <c r="C5" s="314">
        <v>539393.6399999999</v>
      </c>
      <c r="D5" s="314"/>
      <c r="E5" s="314">
        <f t="shared" si="0"/>
        <v>539393.6399999999</v>
      </c>
    </row>
    <row r="6" spans="1:5">
      <c r="A6" s="102">
        <v>4</v>
      </c>
      <c r="B6" s="6" t="s">
        <v>81</v>
      </c>
      <c r="C6" s="314">
        <v>1356373.39</v>
      </c>
      <c r="D6" s="314"/>
      <c r="E6" s="314">
        <f t="shared" si="0"/>
        <v>1356373.39</v>
      </c>
    </row>
    <row r="7" spans="1:5">
      <c r="A7" s="102">
        <v>5</v>
      </c>
      <c r="B7" s="6" t="s">
        <v>83</v>
      </c>
      <c r="C7" s="314">
        <v>480259.78999999992</v>
      </c>
      <c r="D7" s="314"/>
      <c r="E7" s="314">
        <f t="shared" si="0"/>
        <v>480259.78999999992</v>
      </c>
    </row>
    <row r="8" spans="1:5">
      <c r="A8" s="102">
        <v>6</v>
      </c>
      <c r="B8" s="6" t="s">
        <v>84</v>
      </c>
      <c r="C8" s="314">
        <v>1618181.0399999998</v>
      </c>
      <c r="D8" s="314"/>
      <c r="E8" s="314">
        <f t="shared" si="0"/>
        <v>1618181.0399999998</v>
      </c>
    </row>
    <row r="9" spans="1:5">
      <c r="A9" s="102">
        <v>8</v>
      </c>
      <c r="B9" s="6" t="s">
        <v>88</v>
      </c>
      <c r="C9" s="314">
        <v>2078954.0199999996</v>
      </c>
      <c r="D9" s="314"/>
      <c r="E9" s="314">
        <f t="shared" si="0"/>
        <v>2078954.0199999996</v>
      </c>
    </row>
    <row r="10" spans="1:5">
      <c r="A10" s="102">
        <v>9</v>
      </c>
      <c r="B10" s="6" t="s">
        <v>90</v>
      </c>
      <c r="C10" s="314">
        <v>539393.6399999999</v>
      </c>
      <c r="D10" s="314"/>
      <c r="E10" s="314">
        <f t="shared" si="0"/>
        <v>539393.6399999999</v>
      </c>
    </row>
    <row r="11" spans="1:5">
      <c r="A11" s="102">
        <v>10</v>
      </c>
      <c r="B11" s="6" t="s">
        <v>91</v>
      </c>
      <c r="C11" s="314">
        <v>1147437.4800000002</v>
      </c>
      <c r="D11" s="314"/>
      <c r="E11" s="314">
        <f t="shared" si="0"/>
        <v>1147437.4800000002</v>
      </c>
    </row>
    <row r="12" spans="1:5">
      <c r="A12" s="102">
        <v>11</v>
      </c>
      <c r="B12" s="6" t="s">
        <v>92</v>
      </c>
      <c r="C12" s="314">
        <v>2085556.5499999998</v>
      </c>
      <c r="D12" s="314"/>
      <c r="E12" s="314">
        <f t="shared" si="0"/>
        <v>2085556.5499999998</v>
      </c>
    </row>
    <row r="13" spans="1:5">
      <c r="A13" s="102">
        <v>12</v>
      </c>
      <c r="B13" s="6" t="s">
        <v>94</v>
      </c>
      <c r="C13" s="314">
        <v>2451789.4900000002</v>
      </c>
      <c r="D13" s="314"/>
      <c r="E13" s="314">
        <f t="shared" si="0"/>
        <v>2451789.4900000002</v>
      </c>
    </row>
    <row r="14" spans="1:5">
      <c r="A14" s="102">
        <v>13</v>
      </c>
      <c r="B14" s="6" t="s">
        <v>95</v>
      </c>
      <c r="C14" s="314">
        <v>1175061.02</v>
      </c>
      <c r="D14" s="314"/>
      <c r="E14" s="314">
        <f t="shared" si="0"/>
        <v>1175061.02</v>
      </c>
    </row>
    <row r="15" spans="1:5">
      <c r="A15" s="102">
        <v>14</v>
      </c>
      <c r="B15" s="6" t="s">
        <v>96</v>
      </c>
      <c r="C15" s="314">
        <v>272421.15999999992</v>
      </c>
      <c r="D15" s="314"/>
      <c r="E15" s="314">
        <f t="shared" si="0"/>
        <v>272421.15999999992</v>
      </c>
    </row>
    <row r="16" spans="1:5">
      <c r="A16" s="102">
        <v>15</v>
      </c>
      <c r="B16" s="6" t="s">
        <v>97</v>
      </c>
      <c r="C16" s="314">
        <v>367768.44</v>
      </c>
      <c r="D16" s="314"/>
      <c r="E16" s="314">
        <f t="shared" si="0"/>
        <v>367768.44</v>
      </c>
    </row>
    <row r="17" spans="1:5">
      <c r="A17" s="102">
        <v>16</v>
      </c>
      <c r="B17" s="6" t="s">
        <v>99</v>
      </c>
      <c r="C17" s="314">
        <v>2451789.48</v>
      </c>
      <c r="D17" s="314"/>
      <c r="E17" s="314">
        <f t="shared" si="0"/>
        <v>2451789.48</v>
      </c>
    </row>
    <row r="18" spans="1:5">
      <c r="A18" s="102">
        <v>17</v>
      </c>
      <c r="B18" s="6" t="s">
        <v>101</v>
      </c>
      <c r="C18" s="314">
        <v>1086960</v>
      </c>
      <c r="D18" s="314"/>
      <c r="E18" s="314">
        <f t="shared" si="0"/>
        <v>1086960</v>
      </c>
    </row>
    <row r="19" spans="1:5">
      <c r="A19" s="102">
        <v>18</v>
      </c>
      <c r="B19" s="6" t="s">
        <v>102</v>
      </c>
      <c r="C19" s="314">
        <v>1430210.5499999998</v>
      </c>
      <c r="D19" s="314"/>
      <c r="E19" s="314">
        <f t="shared" si="0"/>
        <v>1430210.5499999998</v>
      </c>
    </row>
    <row r="20" spans="1:5">
      <c r="A20" s="102">
        <v>19</v>
      </c>
      <c r="B20" s="6" t="s">
        <v>103</v>
      </c>
      <c r="C20" s="314">
        <v>898989.4800000001</v>
      </c>
      <c r="D20" s="314"/>
      <c r="E20" s="314">
        <f t="shared" si="0"/>
        <v>898989.4800000001</v>
      </c>
    </row>
    <row r="21" spans="1:5">
      <c r="A21" s="102">
        <v>20</v>
      </c>
      <c r="B21" s="6" t="s">
        <v>104</v>
      </c>
      <c r="C21" s="314">
        <v>1430210.53</v>
      </c>
      <c r="D21" s="314"/>
      <c r="E21" s="314">
        <f t="shared" si="0"/>
        <v>1430210.53</v>
      </c>
    </row>
    <row r="22" spans="1:5">
      <c r="A22" s="102">
        <v>21</v>
      </c>
      <c r="B22" s="6" t="s">
        <v>105</v>
      </c>
      <c r="C22" s="314">
        <v>4319368.4200000009</v>
      </c>
      <c r="D22" s="314"/>
      <c r="E22" s="314">
        <f t="shared" si="0"/>
        <v>4319368.4200000009</v>
      </c>
    </row>
    <row r="23" spans="1:5">
      <c r="A23" s="102">
        <v>22</v>
      </c>
      <c r="B23" s="6" t="s">
        <v>106</v>
      </c>
      <c r="C23" s="314">
        <v>2693696.4799999995</v>
      </c>
      <c r="D23" s="314"/>
      <c r="E23" s="314">
        <f t="shared" si="0"/>
        <v>2693696.4799999995</v>
      </c>
    </row>
    <row r="24" spans="1:5">
      <c r="A24" s="102">
        <v>23</v>
      </c>
      <c r="B24" s="6" t="s">
        <v>107</v>
      </c>
      <c r="C24" s="314">
        <v>1961431.5599999996</v>
      </c>
      <c r="D24" s="314"/>
      <c r="E24" s="314">
        <f t="shared" si="0"/>
        <v>1961431.5599999996</v>
      </c>
    </row>
    <row r="25" spans="1:5">
      <c r="A25" s="102">
        <v>25</v>
      </c>
      <c r="B25" s="6" t="s">
        <v>109</v>
      </c>
      <c r="C25" s="314">
        <v>4266861.71</v>
      </c>
      <c r="D25" s="314"/>
      <c r="E25" s="314">
        <f t="shared" si="0"/>
        <v>4266861.71</v>
      </c>
    </row>
    <row r="26" spans="1:5">
      <c r="A26" s="102">
        <v>26</v>
      </c>
      <c r="B26" s="6" t="s">
        <v>110</v>
      </c>
      <c r="C26" s="314">
        <v>6667503.1299999999</v>
      </c>
      <c r="D26" s="314"/>
      <c r="E26" s="314">
        <f t="shared" si="0"/>
        <v>6667503.1299999999</v>
      </c>
    </row>
    <row r="27" spans="1:5">
      <c r="A27" s="102">
        <v>27</v>
      </c>
      <c r="B27" s="6" t="s">
        <v>111</v>
      </c>
      <c r="C27" s="314">
        <v>1225894.72</v>
      </c>
      <c r="D27" s="314"/>
      <c r="E27" s="314">
        <f t="shared" si="0"/>
        <v>1225894.72</v>
      </c>
    </row>
    <row r="28" spans="1:5">
      <c r="A28" s="102">
        <v>28</v>
      </c>
      <c r="B28" s="6" t="s">
        <v>112</v>
      </c>
      <c r="C28" s="314">
        <v>3677684.1600000006</v>
      </c>
      <c r="D28" s="314"/>
      <c r="E28" s="314">
        <f t="shared" si="0"/>
        <v>3677684.1600000006</v>
      </c>
    </row>
    <row r="29" spans="1:5">
      <c r="A29" s="102">
        <v>29</v>
      </c>
      <c r="B29" s="6" t="s">
        <v>113</v>
      </c>
      <c r="C29" s="314">
        <v>1576569.4400000004</v>
      </c>
      <c r="D29" s="314"/>
      <c r="E29" s="314">
        <f t="shared" si="0"/>
        <v>1576569.4400000004</v>
      </c>
    </row>
    <row r="30" spans="1:5">
      <c r="A30" s="102">
        <v>34</v>
      </c>
      <c r="B30" s="6" t="s">
        <v>114</v>
      </c>
      <c r="C30" s="314">
        <v>3711910.1799999992</v>
      </c>
      <c r="D30" s="314"/>
      <c r="E30" s="314">
        <f t="shared" si="0"/>
        <v>3711910.1799999992</v>
      </c>
    </row>
    <row r="31" spans="1:5">
      <c r="A31" s="102">
        <v>35</v>
      </c>
      <c r="B31" s="6" t="s">
        <v>115</v>
      </c>
      <c r="C31" s="314">
        <v>1225894.68</v>
      </c>
      <c r="D31" s="314"/>
      <c r="E31" s="314">
        <f t="shared" si="0"/>
        <v>1225894.68</v>
      </c>
    </row>
    <row r="32" spans="1:5">
      <c r="A32" s="102">
        <v>36</v>
      </c>
      <c r="B32" s="6" t="s">
        <v>116</v>
      </c>
      <c r="C32" s="314">
        <v>171625.26</v>
      </c>
      <c r="D32" s="314"/>
      <c r="E32" s="314">
        <f t="shared" si="0"/>
        <v>171625.26</v>
      </c>
    </row>
    <row r="33" spans="1:5">
      <c r="A33" s="102">
        <v>37</v>
      </c>
      <c r="B33" s="6" t="s">
        <v>117</v>
      </c>
      <c r="C33" s="314">
        <v>588429.49</v>
      </c>
      <c r="D33" s="314"/>
      <c r="E33" s="314">
        <f t="shared" si="0"/>
        <v>588429.49</v>
      </c>
    </row>
    <row r="34" spans="1:5">
      <c r="A34" s="102">
        <v>38</v>
      </c>
      <c r="B34" s="6" t="s">
        <v>409</v>
      </c>
      <c r="C34" s="314">
        <v>335077.90000000002</v>
      </c>
      <c r="D34" s="314"/>
      <c r="E34" s="314">
        <f t="shared" si="0"/>
        <v>335077.90000000002</v>
      </c>
    </row>
    <row r="35" spans="1:5">
      <c r="A35" s="102">
        <v>39</v>
      </c>
      <c r="B35" s="6" t="s">
        <v>118</v>
      </c>
      <c r="C35" s="314">
        <v>1855187.38</v>
      </c>
      <c r="D35" s="314"/>
      <c r="E35" s="314">
        <f t="shared" si="0"/>
        <v>1855187.38</v>
      </c>
    </row>
    <row r="36" spans="1:5">
      <c r="A36" s="102">
        <v>40</v>
      </c>
      <c r="B36" s="6" t="s">
        <v>410</v>
      </c>
      <c r="C36" s="314">
        <v>735536.85000000009</v>
      </c>
      <c r="D36" s="314"/>
      <c r="E36" s="314">
        <f t="shared" si="0"/>
        <v>735536.85000000009</v>
      </c>
    </row>
    <row r="37" spans="1:5">
      <c r="A37" s="102">
        <v>42</v>
      </c>
      <c r="B37" s="6" t="s">
        <v>119</v>
      </c>
      <c r="C37" s="314">
        <v>817263.20000000019</v>
      </c>
      <c r="D37" s="314"/>
      <c r="E37" s="314">
        <f t="shared" si="0"/>
        <v>817263.20000000019</v>
      </c>
    </row>
    <row r="38" spans="1:5">
      <c r="A38" s="102">
        <v>43</v>
      </c>
      <c r="B38" s="6" t="s">
        <v>120</v>
      </c>
      <c r="C38" s="314">
        <v>1346849.8800000001</v>
      </c>
      <c r="D38" s="314"/>
      <c r="E38" s="314">
        <f t="shared" si="0"/>
        <v>1346849.8800000001</v>
      </c>
    </row>
    <row r="39" spans="1:5">
      <c r="A39" s="102">
        <v>44</v>
      </c>
      <c r="B39" s="6" t="s">
        <v>121</v>
      </c>
      <c r="C39" s="314">
        <v>294214.75</v>
      </c>
      <c r="D39" s="314"/>
      <c r="E39" s="314">
        <f t="shared" si="0"/>
        <v>294214.75</v>
      </c>
    </row>
    <row r="40" spans="1:5">
      <c r="A40" s="102">
        <v>45</v>
      </c>
      <c r="B40" s="6" t="s">
        <v>122</v>
      </c>
      <c r="C40" s="314">
        <v>898989.45000000007</v>
      </c>
      <c r="D40" s="314"/>
      <c r="E40" s="314">
        <f t="shared" si="0"/>
        <v>898989.45000000007</v>
      </c>
    </row>
    <row r="41" spans="1:5">
      <c r="A41" s="102">
        <v>46</v>
      </c>
      <c r="B41" s="6" t="s">
        <v>123</v>
      </c>
      <c r="C41" s="314">
        <v>858126.3</v>
      </c>
      <c r="D41" s="314"/>
      <c r="E41" s="314">
        <f t="shared" si="0"/>
        <v>858126.3</v>
      </c>
    </row>
    <row r="42" spans="1:5">
      <c r="A42" s="102">
        <v>49</v>
      </c>
      <c r="B42" s="6" t="s">
        <v>124</v>
      </c>
      <c r="C42" s="314">
        <v>2574378.94</v>
      </c>
      <c r="D42" s="314"/>
      <c r="E42" s="314">
        <f t="shared" si="0"/>
        <v>2574378.94</v>
      </c>
    </row>
    <row r="43" spans="1:5">
      <c r="A43" s="102">
        <v>50</v>
      </c>
      <c r="B43" s="6" t="s">
        <v>125</v>
      </c>
      <c r="C43" s="314">
        <v>490357.92000000016</v>
      </c>
      <c r="D43" s="314"/>
      <c r="E43" s="314">
        <f t="shared" si="0"/>
        <v>490357.92000000016</v>
      </c>
    </row>
    <row r="44" spans="1:5">
      <c r="A44" s="102">
        <v>51</v>
      </c>
      <c r="B44" s="6" t="s">
        <v>126</v>
      </c>
      <c r="C44" s="314">
        <v>272421.15999999992</v>
      </c>
      <c r="D44" s="314"/>
      <c r="E44" s="314">
        <f t="shared" si="0"/>
        <v>272421.15999999992</v>
      </c>
    </row>
    <row r="45" spans="1:5">
      <c r="A45" s="102">
        <v>52</v>
      </c>
      <c r="B45" s="6" t="s">
        <v>128</v>
      </c>
      <c r="C45" s="314">
        <v>674242.07999999973</v>
      </c>
      <c r="D45" s="314"/>
      <c r="E45" s="314">
        <f t="shared" si="0"/>
        <v>674242.07999999973</v>
      </c>
    </row>
    <row r="46" spans="1:5">
      <c r="A46" s="102">
        <v>53</v>
      </c>
      <c r="B46" s="6" t="s">
        <v>411</v>
      </c>
      <c r="C46" s="314">
        <v>81726.320000000007</v>
      </c>
      <c r="D46" s="314"/>
      <c r="E46" s="314">
        <f t="shared" si="0"/>
        <v>81726.320000000007</v>
      </c>
    </row>
    <row r="47" spans="1:5">
      <c r="A47" s="102">
        <v>54</v>
      </c>
      <c r="B47" s="6" t="s">
        <v>129</v>
      </c>
      <c r="C47" s="314">
        <v>3681262.8199999994</v>
      </c>
      <c r="D47" s="314"/>
      <c r="E47" s="314">
        <f t="shared" si="0"/>
        <v>3681262.8199999994</v>
      </c>
    </row>
    <row r="48" spans="1:5">
      <c r="A48" s="102">
        <v>55</v>
      </c>
      <c r="B48" s="6" t="s">
        <v>130</v>
      </c>
      <c r="C48" s="314">
        <v>3189677.19</v>
      </c>
      <c r="D48" s="314"/>
      <c r="E48" s="314">
        <f t="shared" si="0"/>
        <v>3189677.19</v>
      </c>
    </row>
    <row r="49" spans="1:5">
      <c r="A49" s="102">
        <v>56</v>
      </c>
      <c r="B49" s="6" t="s">
        <v>132</v>
      </c>
      <c r="C49" s="314">
        <v>1462901.04</v>
      </c>
      <c r="D49" s="314"/>
      <c r="E49" s="314">
        <f t="shared" si="0"/>
        <v>1462901.04</v>
      </c>
    </row>
    <row r="50" spans="1:5">
      <c r="A50" s="102">
        <v>57</v>
      </c>
      <c r="B50" s="6" t="s">
        <v>133</v>
      </c>
      <c r="C50" s="314">
        <v>551652.6</v>
      </c>
      <c r="D50" s="314"/>
      <c r="E50" s="314">
        <f t="shared" si="0"/>
        <v>551652.6</v>
      </c>
    </row>
    <row r="51" spans="1:5">
      <c r="A51" s="102">
        <v>58</v>
      </c>
      <c r="B51" s="6" t="s">
        <v>134</v>
      </c>
      <c r="C51" s="314">
        <v>14228507.860000001</v>
      </c>
      <c r="D51" s="314"/>
      <c r="E51" s="314">
        <f t="shared" si="0"/>
        <v>14228507.860000001</v>
      </c>
    </row>
    <row r="52" spans="1:5">
      <c r="A52" s="102">
        <v>59</v>
      </c>
      <c r="B52" s="6" t="s">
        <v>135</v>
      </c>
      <c r="C52" s="314">
        <v>2451789.48</v>
      </c>
      <c r="D52" s="314"/>
      <c r="E52" s="314">
        <f t="shared" si="0"/>
        <v>2451789.48</v>
      </c>
    </row>
    <row r="53" spans="1:5">
      <c r="A53" s="102">
        <v>60</v>
      </c>
      <c r="B53" s="6" t="s">
        <v>136</v>
      </c>
      <c r="C53" s="314">
        <v>504414.78999999992</v>
      </c>
      <c r="D53" s="314"/>
      <c r="E53" s="314">
        <f t="shared" si="0"/>
        <v>504414.78999999992</v>
      </c>
    </row>
    <row r="54" spans="1:5">
      <c r="A54" s="102">
        <v>62</v>
      </c>
      <c r="B54" s="6" t="s">
        <v>137</v>
      </c>
      <c r="C54" s="314">
        <v>866298.94</v>
      </c>
      <c r="D54" s="314"/>
      <c r="E54" s="314">
        <f t="shared" si="0"/>
        <v>866298.94</v>
      </c>
    </row>
    <row r="55" spans="1:5">
      <c r="A55" s="102">
        <v>63</v>
      </c>
      <c r="B55" s="6" t="s">
        <v>138</v>
      </c>
      <c r="C55" s="314">
        <v>648498.35000000009</v>
      </c>
      <c r="D55" s="314"/>
      <c r="E55" s="314">
        <f t="shared" si="0"/>
        <v>648498.35000000009</v>
      </c>
    </row>
    <row r="56" spans="1:5">
      <c r="A56" s="102">
        <v>64</v>
      </c>
      <c r="B56" s="6" t="s">
        <v>139</v>
      </c>
      <c r="C56" s="314">
        <v>1838842.0800000003</v>
      </c>
      <c r="D56" s="314"/>
      <c r="E56" s="314">
        <f t="shared" si="0"/>
        <v>1838842.0800000003</v>
      </c>
    </row>
    <row r="57" spans="1:5">
      <c r="A57" s="102">
        <v>65</v>
      </c>
      <c r="B57" s="6" t="s">
        <v>140</v>
      </c>
      <c r="C57" s="314">
        <v>1221808.4100000001</v>
      </c>
      <c r="D57" s="314"/>
      <c r="E57" s="314">
        <f t="shared" si="0"/>
        <v>1221808.4100000001</v>
      </c>
    </row>
    <row r="58" spans="1:5">
      <c r="A58" s="102">
        <v>66</v>
      </c>
      <c r="B58" s="6" t="s">
        <v>412</v>
      </c>
      <c r="C58" s="314">
        <v>81726.320000000007</v>
      </c>
      <c r="D58" s="314"/>
      <c r="E58" s="314">
        <f t="shared" si="0"/>
        <v>81726.320000000007</v>
      </c>
    </row>
    <row r="59" spans="1:5">
      <c r="A59" s="102">
        <v>67</v>
      </c>
      <c r="B59" s="6" t="s">
        <v>141</v>
      </c>
      <c r="C59" s="314">
        <v>674242.15</v>
      </c>
      <c r="D59" s="314"/>
      <c r="E59" s="314">
        <f t="shared" si="0"/>
        <v>674242.15</v>
      </c>
    </row>
    <row r="60" spans="1:5">
      <c r="A60" s="102">
        <v>68</v>
      </c>
      <c r="B60" s="6" t="s">
        <v>142</v>
      </c>
      <c r="C60" s="314">
        <v>408631.60000000009</v>
      </c>
      <c r="D60" s="314"/>
      <c r="E60" s="314">
        <f t="shared" si="0"/>
        <v>408631.60000000009</v>
      </c>
    </row>
    <row r="61" spans="1:5">
      <c r="A61" s="102">
        <v>69</v>
      </c>
      <c r="B61" s="6" t="s">
        <v>143</v>
      </c>
      <c r="C61" s="314">
        <v>169990.6</v>
      </c>
      <c r="D61" s="314"/>
      <c r="E61" s="314">
        <f t="shared" si="0"/>
        <v>169990.6</v>
      </c>
    </row>
    <row r="62" spans="1:5">
      <c r="A62" s="102">
        <v>70</v>
      </c>
      <c r="B62" s="6" t="s">
        <v>144</v>
      </c>
      <c r="C62" s="314">
        <v>980715.84000000032</v>
      </c>
      <c r="D62" s="314"/>
      <c r="E62" s="314">
        <f t="shared" si="0"/>
        <v>980715.84000000032</v>
      </c>
    </row>
    <row r="63" spans="1:5">
      <c r="A63" s="102">
        <v>71</v>
      </c>
      <c r="B63" s="6" t="s">
        <v>145</v>
      </c>
      <c r="C63" s="314">
        <v>1838842.0800000003</v>
      </c>
      <c r="D63" s="314"/>
      <c r="E63" s="314">
        <f t="shared" si="0"/>
        <v>1838842.0800000003</v>
      </c>
    </row>
    <row r="64" spans="1:5">
      <c r="A64" s="102">
        <v>72</v>
      </c>
      <c r="B64" s="6" t="s">
        <v>146</v>
      </c>
      <c r="C64" s="314">
        <v>6217738.1699999999</v>
      </c>
      <c r="D64" s="314"/>
      <c r="E64" s="314">
        <f t="shared" si="0"/>
        <v>6217738.1699999999</v>
      </c>
    </row>
    <row r="65" spans="1:5">
      <c r="A65" s="102">
        <v>73</v>
      </c>
      <c r="B65" s="6" t="s">
        <v>147</v>
      </c>
      <c r="C65" s="314">
        <v>2942147.4000000004</v>
      </c>
      <c r="D65" s="314"/>
      <c r="E65" s="314">
        <f t="shared" si="0"/>
        <v>2942147.4000000004</v>
      </c>
    </row>
    <row r="66" spans="1:5">
      <c r="A66" s="102">
        <v>74</v>
      </c>
      <c r="B66" s="6" t="s">
        <v>148</v>
      </c>
      <c r="C66" s="314">
        <v>5148349.21</v>
      </c>
      <c r="D66" s="314"/>
      <c r="E66" s="314">
        <f t="shared" si="0"/>
        <v>5148349.21</v>
      </c>
    </row>
    <row r="67" spans="1:5">
      <c r="A67" s="102">
        <v>75</v>
      </c>
      <c r="B67" s="6" t="s">
        <v>149</v>
      </c>
      <c r="C67" s="314">
        <v>796831.59000000008</v>
      </c>
      <c r="D67" s="314"/>
      <c r="E67" s="314">
        <f t="shared" si="0"/>
        <v>796831.59000000008</v>
      </c>
    </row>
    <row r="68" spans="1:5">
      <c r="A68" s="102">
        <v>76</v>
      </c>
      <c r="B68" s="6" t="s">
        <v>150</v>
      </c>
      <c r="C68" s="314">
        <v>2451789.48</v>
      </c>
      <c r="D68" s="314"/>
      <c r="E68" s="314">
        <f t="shared" ref="E68:E95" si="1">C68+D68</f>
        <v>2451789.48</v>
      </c>
    </row>
    <row r="69" spans="1:5">
      <c r="A69" s="102">
        <v>77</v>
      </c>
      <c r="B69" s="6" t="s">
        <v>151</v>
      </c>
      <c r="C69" s="314">
        <v>2451789.48</v>
      </c>
      <c r="D69" s="314"/>
      <c r="E69" s="314">
        <f t="shared" si="1"/>
        <v>2451789.48</v>
      </c>
    </row>
    <row r="70" spans="1:5">
      <c r="A70" s="102">
        <v>80</v>
      </c>
      <c r="B70" s="6" t="s">
        <v>152</v>
      </c>
      <c r="C70" s="314">
        <v>571122.82000000007</v>
      </c>
      <c r="D70" s="314"/>
      <c r="E70" s="314">
        <f t="shared" si="1"/>
        <v>571122.82000000007</v>
      </c>
    </row>
    <row r="71" spans="1:5">
      <c r="A71" s="102">
        <v>82</v>
      </c>
      <c r="B71" s="6" t="s">
        <v>413</v>
      </c>
      <c r="C71" s="314">
        <v>408631.59000000008</v>
      </c>
      <c r="D71" s="314"/>
      <c r="E71" s="314">
        <f t="shared" si="1"/>
        <v>408631.59000000008</v>
      </c>
    </row>
    <row r="72" spans="1:5">
      <c r="A72" s="102">
        <v>83</v>
      </c>
      <c r="B72" s="6" t="s">
        <v>156</v>
      </c>
      <c r="C72" s="314">
        <v>490357.92000000004</v>
      </c>
      <c r="D72" s="314"/>
      <c r="E72" s="314">
        <f t="shared" si="1"/>
        <v>490357.92000000004</v>
      </c>
    </row>
    <row r="73" spans="1:5">
      <c r="A73" s="102">
        <v>84</v>
      </c>
      <c r="B73" s="6" t="s">
        <v>72</v>
      </c>
      <c r="C73" s="314"/>
      <c r="D73" s="314">
        <v>997878.31000000017</v>
      </c>
      <c r="E73" s="314">
        <f t="shared" si="1"/>
        <v>997878.31000000017</v>
      </c>
    </row>
    <row r="74" spans="1:5">
      <c r="A74" s="102">
        <v>85</v>
      </c>
      <c r="B74" s="6" t="s">
        <v>73</v>
      </c>
      <c r="C74" s="314"/>
      <c r="D74" s="314">
        <v>507664.58</v>
      </c>
      <c r="E74" s="314">
        <f t="shared" si="1"/>
        <v>507664.58</v>
      </c>
    </row>
    <row r="75" spans="1:5">
      <c r="A75" s="102">
        <v>86</v>
      </c>
      <c r="B75" s="6" t="s">
        <v>74</v>
      </c>
      <c r="C75" s="314"/>
      <c r="D75" s="314">
        <v>2039889.1099999999</v>
      </c>
      <c r="E75" s="314">
        <f t="shared" si="1"/>
        <v>2039889.1099999999</v>
      </c>
    </row>
    <row r="76" spans="1:5">
      <c r="A76" s="102">
        <v>87</v>
      </c>
      <c r="B76" s="6" t="s">
        <v>414</v>
      </c>
      <c r="C76" s="314"/>
      <c r="D76" s="314">
        <v>6634.97</v>
      </c>
      <c r="E76" s="314">
        <f t="shared" si="1"/>
        <v>6634.97</v>
      </c>
    </row>
    <row r="77" spans="1:5">
      <c r="A77" s="102">
        <v>88</v>
      </c>
      <c r="B77" s="6" t="s">
        <v>75</v>
      </c>
      <c r="C77" s="314"/>
      <c r="D77" s="314">
        <v>2519631.5900000003</v>
      </c>
      <c r="E77" s="314">
        <f t="shared" si="1"/>
        <v>2519631.5900000003</v>
      </c>
    </row>
    <row r="78" spans="1:5">
      <c r="A78" s="102">
        <v>89</v>
      </c>
      <c r="B78" s="6" t="s">
        <v>77</v>
      </c>
      <c r="C78" s="314"/>
      <c r="D78" s="314">
        <v>2615242.1399999992</v>
      </c>
      <c r="E78" s="314">
        <f t="shared" si="1"/>
        <v>2615242.1399999992</v>
      </c>
    </row>
    <row r="79" spans="1:5">
      <c r="A79" s="102">
        <v>90</v>
      </c>
      <c r="B79" s="6" t="s">
        <v>415</v>
      </c>
      <c r="C79" s="314"/>
      <c r="D79" s="314">
        <v>39809.85</v>
      </c>
      <c r="E79" s="314">
        <f t="shared" si="1"/>
        <v>39809.85</v>
      </c>
    </row>
    <row r="80" spans="1:5">
      <c r="A80" s="102">
        <v>91</v>
      </c>
      <c r="B80" s="6" t="s">
        <v>78</v>
      </c>
      <c r="C80" s="314"/>
      <c r="D80" s="314">
        <v>1225894.68</v>
      </c>
      <c r="E80" s="314">
        <f t="shared" si="1"/>
        <v>1225894.68</v>
      </c>
    </row>
    <row r="81" spans="1:5">
      <c r="A81" s="102">
        <v>92</v>
      </c>
      <c r="B81" s="6" t="s">
        <v>82</v>
      </c>
      <c r="C81" s="314"/>
      <c r="D81" s="314">
        <v>6479052.6600000011</v>
      </c>
      <c r="E81" s="314">
        <f t="shared" si="1"/>
        <v>6479052.6600000011</v>
      </c>
    </row>
    <row r="82" spans="1:5">
      <c r="A82" s="102">
        <v>93</v>
      </c>
      <c r="B82" s="6" t="s">
        <v>85</v>
      </c>
      <c r="C82" s="314"/>
      <c r="D82" s="314">
        <v>1838842.12</v>
      </c>
      <c r="E82" s="314">
        <f t="shared" si="1"/>
        <v>1838842.12</v>
      </c>
    </row>
    <row r="83" spans="1:5">
      <c r="A83" s="102">
        <v>94</v>
      </c>
      <c r="B83" s="6" t="s">
        <v>86</v>
      </c>
      <c r="C83" s="314"/>
      <c r="D83" s="314">
        <v>2342821.0900000003</v>
      </c>
      <c r="E83" s="314">
        <f t="shared" si="1"/>
        <v>2342821.0900000003</v>
      </c>
    </row>
    <row r="84" spans="1:5">
      <c r="A84" s="102">
        <v>95</v>
      </c>
      <c r="B84" s="6" t="s">
        <v>87</v>
      </c>
      <c r="C84" s="314"/>
      <c r="D84" s="314">
        <v>17277473.640000004</v>
      </c>
      <c r="E84" s="314">
        <f t="shared" si="1"/>
        <v>17277473.640000004</v>
      </c>
    </row>
    <row r="85" spans="1:5">
      <c r="A85" s="102">
        <v>96</v>
      </c>
      <c r="B85" s="6" t="s">
        <v>89</v>
      </c>
      <c r="C85" s="314"/>
      <c r="D85" s="314">
        <v>2451789.5100000002</v>
      </c>
      <c r="E85" s="314">
        <f t="shared" si="1"/>
        <v>2451789.5100000002</v>
      </c>
    </row>
    <row r="86" spans="1:5">
      <c r="A86" s="102">
        <v>97</v>
      </c>
      <c r="B86" s="6" t="s">
        <v>93</v>
      </c>
      <c r="C86" s="314"/>
      <c r="D86" s="314">
        <v>5399209.4699999997</v>
      </c>
      <c r="E86" s="314">
        <f t="shared" si="1"/>
        <v>5399209.4699999997</v>
      </c>
    </row>
    <row r="87" spans="1:5">
      <c r="A87" s="102">
        <v>98</v>
      </c>
      <c r="B87" s="6" t="s">
        <v>98</v>
      </c>
      <c r="C87" s="314"/>
      <c r="D87" s="314">
        <v>1279812.2000000002</v>
      </c>
      <c r="E87" s="314">
        <f t="shared" si="1"/>
        <v>1279812.2000000002</v>
      </c>
    </row>
    <row r="88" spans="1:5">
      <c r="A88" s="102">
        <v>99</v>
      </c>
      <c r="B88" s="6" t="s">
        <v>100</v>
      </c>
      <c r="C88" s="314"/>
      <c r="D88" s="314">
        <v>2427673.11</v>
      </c>
      <c r="E88" s="314">
        <f t="shared" si="1"/>
        <v>2427673.11</v>
      </c>
    </row>
    <row r="89" spans="1:5">
      <c r="A89" s="102">
        <v>100</v>
      </c>
      <c r="B89" s="6" t="s">
        <v>108</v>
      </c>
      <c r="C89" s="314"/>
      <c r="D89" s="314">
        <v>2059501.8900000001</v>
      </c>
      <c r="E89" s="314">
        <f t="shared" si="1"/>
        <v>2059501.8900000001</v>
      </c>
    </row>
    <row r="90" spans="1:5">
      <c r="A90" s="102">
        <v>101</v>
      </c>
      <c r="B90" s="6" t="s">
        <v>127</v>
      </c>
      <c r="C90" s="314"/>
      <c r="D90" s="314">
        <v>1961431.5599999996</v>
      </c>
      <c r="E90" s="314">
        <f t="shared" si="1"/>
        <v>1961431.5599999996</v>
      </c>
    </row>
    <row r="91" spans="1:5">
      <c r="A91" s="102">
        <v>102</v>
      </c>
      <c r="B91" s="6" t="s">
        <v>131</v>
      </c>
      <c r="C91" s="314"/>
      <c r="D91" s="314">
        <v>1471073.64</v>
      </c>
      <c r="E91" s="314">
        <f t="shared" si="1"/>
        <v>1471073.64</v>
      </c>
    </row>
    <row r="92" spans="1:5">
      <c r="A92" s="102">
        <v>103</v>
      </c>
      <c r="B92" s="6" t="s">
        <v>153</v>
      </c>
      <c r="C92" s="314"/>
      <c r="D92" s="314">
        <v>3575980.5599999991</v>
      </c>
      <c r="E92" s="314">
        <f t="shared" si="1"/>
        <v>3575980.5599999991</v>
      </c>
    </row>
    <row r="93" spans="1:5">
      <c r="A93" s="102">
        <v>104</v>
      </c>
      <c r="B93" s="6" t="s">
        <v>154</v>
      </c>
      <c r="C93" s="314"/>
      <c r="D93" s="314">
        <v>1919717.7199999997</v>
      </c>
      <c r="E93" s="314">
        <f t="shared" si="1"/>
        <v>1919717.7199999997</v>
      </c>
    </row>
    <row r="94" spans="1:5">
      <c r="A94" s="102">
        <v>105</v>
      </c>
      <c r="B94" s="6" t="s">
        <v>155</v>
      </c>
      <c r="C94" s="314"/>
      <c r="D94" s="314">
        <v>3695460.879999999</v>
      </c>
      <c r="E94" s="314">
        <f t="shared" si="1"/>
        <v>3695460.879999999</v>
      </c>
    </row>
    <row r="95" spans="1:5">
      <c r="A95" s="102"/>
      <c r="B95" s="295" t="s">
        <v>65</v>
      </c>
      <c r="C95" s="315">
        <f>SUM(C3:C94)</f>
        <v>126649666.70999999</v>
      </c>
      <c r="D95" s="315">
        <f>SUM(D3:D94)</f>
        <v>64132485.280000016</v>
      </c>
      <c r="E95" s="315">
        <f t="shared" si="1"/>
        <v>190782151.99000001</v>
      </c>
    </row>
  </sheetData>
  <mergeCells count="1">
    <mergeCell ref="A1:E1"/>
  </mergeCells>
  <printOptions horizontalCentered="1" verticalCentere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W49"/>
  <sheetViews>
    <sheetView view="pageBreakPreview" topLeftCell="B1" zoomScaleNormal="80" zoomScaleSheetLayoutView="100" workbookViewId="0">
      <selection activeCell="C31" sqref="C31"/>
    </sheetView>
  </sheetViews>
  <sheetFormatPr defaultRowHeight="15.75"/>
  <cols>
    <col min="1" max="1" width="1.85546875" style="188" customWidth="1"/>
    <col min="2" max="2" width="6.140625" style="227" customWidth="1"/>
    <col min="3" max="3" width="29.7109375" style="191" customWidth="1"/>
    <col min="4" max="4" width="11.5703125" style="191" customWidth="1"/>
    <col min="5" max="5" width="11.28515625" style="228" customWidth="1"/>
    <col min="6" max="6" width="11.7109375" style="228" customWidth="1"/>
    <col min="7" max="7" width="16" style="228" hidden="1" customWidth="1"/>
    <col min="8" max="8" width="11.7109375" style="228" customWidth="1"/>
    <col min="9" max="10" width="12.42578125" style="191" customWidth="1"/>
    <col min="11" max="11" width="12.7109375" style="191" customWidth="1"/>
    <col min="12" max="12" width="12.85546875" style="191" customWidth="1"/>
    <col min="13" max="13" width="11.28515625" style="191" customWidth="1"/>
    <col min="14" max="14" width="13.7109375" style="191" hidden="1" customWidth="1"/>
    <col min="15" max="15" width="12.140625" style="191" customWidth="1"/>
    <col min="16" max="16" width="11.7109375" style="191" customWidth="1"/>
    <col min="17" max="17" width="12" style="191" customWidth="1"/>
    <col min="18" max="18" width="19.140625" style="191" customWidth="1"/>
    <col min="19" max="19" width="16.140625" style="190" bestFit="1" customWidth="1"/>
    <col min="20" max="20" width="28.140625" style="191" customWidth="1"/>
    <col min="21" max="21" width="10.28515625" style="191" bestFit="1" customWidth="1"/>
    <col min="22" max="22" width="5.85546875" style="191" customWidth="1"/>
    <col min="23" max="23" width="39.5703125" style="191" bestFit="1" customWidth="1"/>
    <col min="24" max="24" width="17.42578125" style="191" bestFit="1" customWidth="1"/>
    <col min="25" max="25" width="13" style="191" bestFit="1" customWidth="1"/>
    <col min="26" max="26" width="24.5703125" style="191" bestFit="1" customWidth="1"/>
    <col min="27" max="27" width="37.42578125" style="191" bestFit="1" customWidth="1"/>
    <col min="28" max="28" width="30.7109375" style="191" bestFit="1" customWidth="1"/>
    <col min="29" max="29" width="21.28515625" style="191" bestFit="1" customWidth="1"/>
    <col min="30" max="30" width="25.5703125" style="191" bestFit="1" customWidth="1"/>
    <col min="31" max="31" width="30" style="191" bestFit="1" customWidth="1"/>
    <col min="32" max="32" width="31.28515625" style="191" bestFit="1" customWidth="1"/>
    <col min="33" max="33" width="21.7109375" style="191" bestFit="1" customWidth="1"/>
    <col min="34" max="35" width="21.28515625" style="191" bestFit="1" customWidth="1"/>
    <col min="36" max="36" width="20.140625" style="191" bestFit="1" customWidth="1"/>
    <col min="37" max="256" width="9.140625" style="191"/>
    <col min="257" max="257" width="1.85546875" style="191" customWidth="1"/>
    <col min="258" max="258" width="6.140625" style="191" customWidth="1"/>
    <col min="259" max="259" width="29.7109375" style="191" customWidth="1"/>
    <col min="260" max="260" width="11.5703125" style="191" customWidth="1"/>
    <col min="261" max="261" width="11.28515625" style="191" customWidth="1"/>
    <col min="262" max="262" width="11.7109375" style="191" customWidth="1"/>
    <col min="263" max="263" width="0" style="191" hidden="1" customWidth="1"/>
    <col min="264" max="264" width="11.7109375" style="191" customWidth="1"/>
    <col min="265" max="266" width="12.42578125" style="191" customWidth="1"/>
    <col min="267" max="267" width="12.7109375" style="191" customWidth="1"/>
    <col min="268" max="268" width="12.85546875" style="191" customWidth="1"/>
    <col min="269" max="269" width="11.28515625" style="191" customWidth="1"/>
    <col min="270" max="270" width="0" style="191" hidden="1" customWidth="1"/>
    <col min="271" max="271" width="12.140625" style="191" customWidth="1"/>
    <col min="272" max="272" width="11.7109375" style="191" customWidth="1"/>
    <col min="273" max="273" width="12" style="191" customWidth="1"/>
    <col min="274" max="274" width="19.140625" style="191" customWidth="1"/>
    <col min="275" max="275" width="16.140625" style="191" bestFit="1" customWidth="1"/>
    <col min="276" max="276" width="28.140625" style="191" customWidth="1"/>
    <col min="277" max="277" width="10.28515625" style="191" bestFit="1" customWidth="1"/>
    <col min="278" max="278" width="5.85546875" style="191" customWidth="1"/>
    <col min="279" max="279" width="39.5703125" style="191" bestFit="1" customWidth="1"/>
    <col min="280" max="280" width="17.42578125" style="191" bestFit="1" customWidth="1"/>
    <col min="281" max="281" width="13" style="191" bestFit="1" customWidth="1"/>
    <col min="282" max="282" width="24.5703125" style="191" bestFit="1" customWidth="1"/>
    <col min="283" max="283" width="37.42578125" style="191" bestFit="1" customWidth="1"/>
    <col min="284" max="284" width="30.7109375" style="191" bestFit="1" customWidth="1"/>
    <col min="285" max="285" width="21.28515625" style="191" bestFit="1" customWidth="1"/>
    <col min="286" max="286" width="25.5703125" style="191" bestFit="1" customWidth="1"/>
    <col min="287" max="287" width="30" style="191" bestFit="1" customWidth="1"/>
    <col min="288" max="288" width="31.28515625" style="191" bestFit="1" customWidth="1"/>
    <col min="289" max="289" width="21.7109375" style="191" bestFit="1" customWidth="1"/>
    <col min="290" max="291" width="21.28515625" style="191" bestFit="1" customWidth="1"/>
    <col min="292" max="292" width="20.140625" style="191" bestFit="1" customWidth="1"/>
    <col min="293" max="512" width="9.140625" style="191"/>
    <col min="513" max="513" width="1.85546875" style="191" customWidth="1"/>
    <col min="514" max="514" width="6.140625" style="191" customWidth="1"/>
    <col min="515" max="515" width="29.7109375" style="191" customWidth="1"/>
    <col min="516" max="516" width="11.5703125" style="191" customWidth="1"/>
    <col min="517" max="517" width="11.28515625" style="191" customWidth="1"/>
    <col min="518" max="518" width="11.7109375" style="191" customWidth="1"/>
    <col min="519" max="519" width="0" style="191" hidden="1" customWidth="1"/>
    <col min="520" max="520" width="11.7109375" style="191" customWidth="1"/>
    <col min="521" max="522" width="12.42578125" style="191" customWidth="1"/>
    <col min="523" max="523" width="12.7109375" style="191" customWidth="1"/>
    <col min="524" max="524" width="12.85546875" style="191" customWidth="1"/>
    <col min="525" max="525" width="11.28515625" style="191" customWidth="1"/>
    <col min="526" max="526" width="0" style="191" hidden="1" customWidth="1"/>
    <col min="527" max="527" width="12.140625" style="191" customWidth="1"/>
    <col min="528" max="528" width="11.7109375" style="191" customWidth="1"/>
    <col min="529" max="529" width="12" style="191" customWidth="1"/>
    <col min="530" max="530" width="19.140625" style="191" customWidth="1"/>
    <col min="531" max="531" width="16.140625" style="191" bestFit="1" customWidth="1"/>
    <col min="532" max="532" width="28.140625" style="191" customWidth="1"/>
    <col min="533" max="533" width="10.28515625" style="191" bestFit="1" customWidth="1"/>
    <col min="534" max="534" width="5.85546875" style="191" customWidth="1"/>
    <col min="535" max="535" width="39.5703125" style="191" bestFit="1" customWidth="1"/>
    <col min="536" max="536" width="17.42578125" style="191" bestFit="1" customWidth="1"/>
    <col min="537" max="537" width="13" style="191" bestFit="1" customWidth="1"/>
    <col min="538" max="538" width="24.5703125" style="191" bestFit="1" customWidth="1"/>
    <col min="539" max="539" width="37.42578125" style="191" bestFit="1" customWidth="1"/>
    <col min="540" max="540" width="30.7109375" style="191" bestFit="1" customWidth="1"/>
    <col min="541" max="541" width="21.28515625" style="191" bestFit="1" customWidth="1"/>
    <col min="542" max="542" width="25.5703125" style="191" bestFit="1" customWidth="1"/>
    <col min="543" max="543" width="30" style="191" bestFit="1" customWidth="1"/>
    <col min="544" max="544" width="31.28515625" style="191" bestFit="1" customWidth="1"/>
    <col min="545" max="545" width="21.7109375" style="191" bestFit="1" customWidth="1"/>
    <col min="546" max="547" width="21.28515625" style="191" bestFit="1" customWidth="1"/>
    <col min="548" max="548" width="20.140625" style="191" bestFit="1" customWidth="1"/>
    <col min="549" max="768" width="9.140625" style="191"/>
    <col min="769" max="769" width="1.85546875" style="191" customWidth="1"/>
    <col min="770" max="770" width="6.140625" style="191" customWidth="1"/>
    <col min="771" max="771" width="29.7109375" style="191" customWidth="1"/>
    <col min="772" max="772" width="11.5703125" style="191" customWidth="1"/>
    <col min="773" max="773" width="11.28515625" style="191" customWidth="1"/>
    <col min="774" max="774" width="11.7109375" style="191" customWidth="1"/>
    <col min="775" max="775" width="0" style="191" hidden="1" customWidth="1"/>
    <col min="776" max="776" width="11.7109375" style="191" customWidth="1"/>
    <col min="777" max="778" width="12.42578125" style="191" customWidth="1"/>
    <col min="779" max="779" width="12.7109375" style="191" customWidth="1"/>
    <col min="780" max="780" width="12.85546875" style="191" customWidth="1"/>
    <col min="781" max="781" width="11.28515625" style="191" customWidth="1"/>
    <col min="782" max="782" width="0" style="191" hidden="1" customWidth="1"/>
    <col min="783" max="783" width="12.140625" style="191" customWidth="1"/>
    <col min="784" max="784" width="11.7109375" style="191" customWidth="1"/>
    <col min="785" max="785" width="12" style="191" customWidth="1"/>
    <col min="786" max="786" width="19.140625" style="191" customWidth="1"/>
    <col min="787" max="787" width="16.140625" style="191" bestFit="1" customWidth="1"/>
    <col min="788" max="788" width="28.140625" style="191" customWidth="1"/>
    <col min="789" max="789" width="10.28515625" style="191" bestFit="1" customWidth="1"/>
    <col min="790" max="790" width="5.85546875" style="191" customWidth="1"/>
    <col min="791" max="791" width="39.5703125" style="191" bestFit="1" customWidth="1"/>
    <col min="792" max="792" width="17.42578125" style="191" bestFit="1" customWidth="1"/>
    <col min="793" max="793" width="13" style="191" bestFit="1" customWidth="1"/>
    <col min="794" max="794" width="24.5703125" style="191" bestFit="1" customWidth="1"/>
    <col min="795" max="795" width="37.42578125" style="191" bestFit="1" customWidth="1"/>
    <col min="796" max="796" width="30.7109375" style="191" bestFit="1" customWidth="1"/>
    <col min="797" max="797" width="21.28515625" style="191" bestFit="1" customWidth="1"/>
    <col min="798" max="798" width="25.5703125" style="191" bestFit="1" customWidth="1"/>
    <col min="799" max="799" width="30" style="191" bestFit="1" customWidth="1"/>
    <col min="800" max="800" width="31.28515625" style="191" bestFit="1" customWidth="1"/>
    <col min="801" max="801" width="21.7109375" style="191" bestFit="1" customWidth="1"/>
    <col min="802" max="803" width="21.28515625" style="191" bestFit="1" customWidth="1"/>
    <col min="804" max="804" width="20.140625" style="191" bestFit="1" customWidth="1"/>
    <col min="805" max="1024" width="9.140625" style="191"/>
    <col min="1025" max="1025" width="1.85546875" style="191" customWidth="1"/>
    <col min="1026" max="1026" width="6.140625" style="191" customWidth="1"/>
    <col min="1027" max="1027" width="29.7109375" style="191" customWidth="1"/>
    <col min="1028" max="1028" width="11.5703125" style="191" customWidth="1"/>
    <col min="1029" max="1029" width="11.28515625" style="191" customWidth="1"/>
    <col min="1030" max="1030" width="11.7109375" style="191" customWidth="1"/>
    <col min="1031" max="1031" width="0" style="191" hidden="1" customWidth="1"/>
    <col min="1032" max="1032" width="11.7109375" style="191" customWidth="1"/>
    <col min="1033" max="1034" width="12.42578125" style="191" customWidth="1"/>
    <col min="1035" max="1035" width="12.7109375" style="191" customWidth="1"/>
    <col min="1036" max="1036" width="12.85546875" style="191" customWidth="1"/>
    <col min="1037" max="1037" width="11.28515625" style="191" customWidth="1"/>
    <col min="1038" max="1038" width="0" style="191" hidden="1" customWidth="1"/>
    <col min="1039" max="1039" width="12.140625" style="191" customWidth="1"/>
    <col min="1040" max="1040" width="11.7109375" style="191" customWidth="1"/>
    <col min="1041" max="1041" width="12" style="191" customWidth="1"/>
    <col min="1042" max="1042" width="19.140625" style="191" customWidth="1"/>
    <col min="1043" max="1043" width="16.140625" style="191" bestFit="1" customWidth="1"/>
    <col min="1044" max="1044" width="28.140625" style="191" customWidth="1"/>
    <col min="1045" max="1045" width="10.28515625" style="191" bestFit="1" customWidth="1"/>
    <col min="1046" max="1046" width="5.85546875" style="191" customWidth="1"/>
    <col min="1047" max="1047" width="39.5703125" style="191" bestFit="1" customWidth="1"/>
    <col min="1048" max="1048" width="17.42578125" style="191" bestFit="1" customWidth="1"/>
    <col min="1049" max="1049" width="13" style="191" bestFit="1" customWidth="1"/>
    <col min="1050" max="1050" width="24.5703125" style="191" bestFit="1" customWidth="1"/>
    <col min="1051" max="1051" width="37.42578125" style="191" bestFit="1" customWidth="1"/>
    <col min="1052" max="1052" width="30.7109375" style="191" bestFit="1" customWidth="1"/>
    <col min="1053" max="1053" width="21.28515625" style="191" bestFit="1" customWidth="1"/>
    <col min="1054" max="1054" width="25.5703125" style="191" bestFit="1" customWidth="1"/>
    <col min="1055" max="1055" width="30" style="191" bestFit="1" customWidth="1"/>
    <col min="1056" max="1056" width="31.28515625" style="191" bestFit="1" customWidth="1"/>
    <col min="1057" max="1057" width="21.7109375" style="191" bestFit="1" customWidth="1"/>
    <col min="1058" max="1059" width="21.28515625" style="191" bestFit="1" customWidth="1"/>
    <col min="1060" max="1060" width="20.140625" style="191" bestFit="1" customWidth="1"/>
    <col min="1061" max="1280" width="9.140625" style="191"/>
    <col min="1281" max="1281" width="1.85546875" style="191" customWidth="1"/>
    <col min="1282" max="1282" width="6.140625" style="191" customWidth="1"/>
    <col min="1283" max="1283" width="29.7109375" style="191" customWidth="1"/>
    <col min="1284" max="1284" width="11.5703125" style="191" customWidth="1"/>
    <col min="1285" max="1285" width="11.28515625" style="191" customWidth="1"/>
    <col min="1286" max="1286" width="11.7109375" style="191" customWidth="1"/>
    <col min="1287" max="1287" width="0" style="191" hidden="1" customWidth="1"/>
    <col min="1288" max="1288" width="11.7109375" style="191" customWidth="1"/>
    <col min="1289" max="1290" width="12.42578125" style="191" customWidth="1"/>
    <col min="1291" max="1291" width="12.7109375" style="191" customWidth="1"/>
    <col min="1292" max="1292" width="12.85546875" style="191" customWidth="1"/>
    <col min="1293" max="1293" width="11.28515625" style="191" customWidth="1"/>
    <col min="1294" max="1294" width="0" style="191" hidden="1" customWidth="1"/>
    <col min="1295" max="1295" width="12.140625" style="191" customWidth="1"/>
    <col min="1296" max="1296" width="11.7109375" style="191" customWidth="1"/>
    <col min="1297" max="1297" width="12" style="191" customWidth="1"/>
    <col min="1298" max="1298" width="19.140625" style="191" customWidth="1"/>
    <col min="1299" max="1299" width="16.140625" style="191" bestFit="1" customWidth="1"/>
    <col min="1300" max="1300" width="28.140625" style="191" customWidth="1"/>
    <col min="1301" max="1301" width="10.28515625" style="191" bestFit="1" customWidth="1"/>
    <col min="1302" max="1302" width="5.85546875" style="191" customWidth="1"/>
    <col min="1303" max="1303" width="39.5703125" style="191" bestFit="1" customWidth="1"/>
    <col min="1304" max="1304" width="17.42578125" style="191" bestFit="1" customWidth="1"/>
    <col min="1305" max="1305" width="13" style="191" bestFit="1" customWidth="1"/>
    <col min="1306" max="1306" width="24.5703125" style="191" bestFit="1" customWidth="1"/>
    <col min="1307" max="1307" width="37.42578125" style="191" bestFit="1" customWidth="1"/>
    <col min="1308" max="1308" width="30.7109375" style="191" bestFit="1" customWidth="1"/>
    <col min="1309" max="1309" width="21.28515625" style="191" bestFit="1" customWidth="1"/>
    <col min="1310" max="1310" width="25.5703125" style="191" bestFit="1" customWidth="1"/>
    <col min="1311" max="1311" width="30" style="191" bestFit="1" customWidth="1"/>
    <col min="1312" max="1312" width="31.28515625" style="191" bestFit="1" customWidth="1"/>
    <col min="1313" max="1313" width="21.7109375" style="191" bestFit="1" customWidth="1"/>
    <col min="1314" max="1315" width="21.28515625" style="191" bestFit="1" customWidth="1"/>
    <col min="1316" max="1316" width="20.140625" style="191" bestFit="1" customWidth="1"/>
    <col min="1317" max="1536" width="9.140625" style="191"/>
    <col min="1537" max="1537" width="1.85546875" style="191" customWidth="1"/>
    <col min="1538" max="1538" width="6.140625" style="191" customWidth="1"/>
    <col min="1539" max="1539" width="29.7109375" style="191" customWidth="1"/>
    <col min="1540" max="1540" width="11.5703125" style="191" customWidth="1"/>
    <col min="1541" max="1541" width="11.28515625" style="191" customWidth="1"/>
    <col min="1542" max="1542" width="11.7109375" style="191" customWidth="1"/>
    <col min="1543" max="1543" width="0" style="191" hidden="1" customWidth="1"/>
    <col min="1544" max="1544" width="11.7109375" style="191" customWidth="1"/>
    <col min="1545" max="1546" width="12.42578125" style="191" customWidth="1"/>
    <col min="1547" max="1547" width="12.7109375" style="191" customWidth="1"/>
    <col min="1548" max="1548" width="12.85546875" style="191" customWidth="1"/>
    <col min="1549" max="1549" width="11.28515625" style="191" customWidth="1"/>
    <col min="1550" max="1550" width="0" style="191" hidden="1" customWidth="1"/>
    <col min="1551" max="1551" width="12.140625" style="191" customWidth="1"/>
    <col min="1552" max="1552" width="11.7109375" style="191" customWidth="1"/>
    <col min="1553" max="1553" width="12" style="191" customWidth="1"/>
    <col min="1554" max="1554" width="19.140625" style="191" customWidth="1"/>
    <col min="1555" max="1555" width="16.140625" style="191" bestFit="1" customWidth="1"/>
    <col min="1556" max="1556" width="28.140625" style="191" customWidth="1"/>
    <col min="1557" max="1557" width="10.28515625" style="191" bestFit="1" customWidth="1"/>
    <col min="1558" max="1558" width="5.85546875" style="191" customWidth="1"/>
    <col min="1559" max="1559" width="39.5703125" style="191" bestFit="1" customWidth="1"/>
    <col min="1560" max="1560" width="17.42578125" style="191" bestFit="1" customWidth="1"/>
    <col min="1561" max="1561" width="13" style="191" bestFit="1" customWidth="1"/>
    <col min="1562" max="1562" width="24.5703125" style="191" bestFit="1" customWidth="1"/>
    <col min="1563" max="1563" width="37.42578125" style="191" bestFit="1" customWidth="1"/>
    <col min="1564" max="1564" width="30.7109375" style="191" bestFit="1" customWidth="1"/>
    <col min="1565" max="1565" width="21.28515625" style="191" bestFit="1" customWidth="1"/>
    <col min="1566" max="1566" width="25.5703125" style="191" bestFit="1" customWidth="1"/>
    <col min="1567" max="1567" width="30" style="191" bestFit="1" customWidth="1"/>
    <col min="1568" max="1568" width="31.28515625" style="191" bestFit="1" customWidth="1"/>
    <col min="1569" max="1569" width="21.7109375" style="191" bestFit="1" customWidth="1"/>
    <col min="1570" max="1571" width="21.28515625" style="191" bestFit="1" customWidth="1"/>
    <col min="1572" max="1572" width="20.140625" style="191" bestFit="1" customWidth="1"/>
    <col min="1573" max="1792" width="9.140625" style="191"/>
    <col min="1793" max="1793" width="1.85546875" style="191" customWidth="1"/>
    <col min="1794" max="1794" width="6.140625" style="191" customWidth="1"/>
    <col min="1795" max="1795" width="29.7109375" style="191" customWidth="1"/>
    <col min="1796" max="1796" width="11.5703125" style="191" customWidth="1"/>
    <col min="1797" max="1797" width="11.28515625" style="191" customWidth="1"/>
    <col min="1798" max="1798" width="11.7109375" style="191" customWidth="1"/>
    <col min="1799" max="1799" width="0" style="191" hidden="1" customWidth="1"/>
    <col min="1800" max="1800" width="11.7109375" style="191" customWidth="1"/>
    <col min="1801" max="1802" width="12.42578125" style="191" customWidth="1"/>
    <col min="1803" max="1803" width="12.7109375" style="191" customWidth="1"/>
    <col min="1804" max="1804" width="12.85546875" style="191" customWidth="1"/>
    <col min="1805" max="1805" width="11.28515625" style="191" customWidth="1"/>
    <col min="1806" max="1806" width="0" style="191" hidden="1" customWidth="1"/>
    <col min="1807" max="1807" width="12.140625" style="191" customWidth="1"/>
    <col min="1808" max="1808" width="11.7109375" style="191" customWidth="1"/>
    <col min="1809" max="1809" width="12" style="191" customWidth="1"/>
    <col min="1810" max="1810" width="19.140625" style="191" customWidth="1"/>
    <col min="1811" max="1811" width="16.140625" style="191" bestFit="1" customWidth="1"/>
    <col min="1812" max="1812" width="28.140625" style="191" customWidth="1"/>
    <col min="1813" max="1813" width="10.28515625" style="191" bestFit="1" customWidth="1"/>
    <col min="1814" max="1814" width="5.85546875" style="191" customWidth="1"/>
    <col min="1815" max="1815" width="39.5703125" style="191" bestFit="1" customWidth="1"/>
    <col min="1816" max="1816" width="17.42578125" style="191" bestFit="1" customWidth="1"/>
    <col min="1817" max="1817" width="13" style="191" bestFit="1" customWidth="1"/>
    <col min="1818" max="1818" width="24.5703125" style="191" bestFit="1" customWidth="1"/>
    <col min="1819" max="1819" width="37.42578125" style="191" bestFit="1" customWidth="1"/>
    <col min="1820" max="1820" width="30.7109375" style="191" bestFit="1" customWidth="1"/>
    <col min="1821" max="1821" width="21.28515625" style="191" bestFit="1" customWidth="1"/>
    <col min="1822" max="1822" width="25.5703125" style="191" bestFit="1" customWidth="1"/>
    <col min="1823" max="1823" width="30" style="191" bestFit="1" customWidth="1"/>
    <col min="1824" max="1824" width="31.28515625" style="191" bestFit="1" customWidth="1"/>
    <col min="1825" max="1825" width="21.7109375" style="191" bestFit="1" customWidth="1"/>
    <col min="1826" max="1827" width="21.28515625" style="191" bestFit="1" customWidth="1"/>
    <col min="1828" max="1828" width="20.140625" style="191" bestFit="1" customWidth="1"/>
    <col min="1829" max="2048" width="9.140625" style="191"/>
    <col min="2049" max="2049" width="1.85546875" style="191" customWidth="1"/>
    <col min="2050" max="2050" width="6.140625" style="191" customWidth="1"/>
    <col min="2051" max="2051" width="29.7109375" style="191" customWidth="1"/>
    <col min="2052" max="2052" width="11.5703125" style="191" customWidth="1"/>
    <col min="2053" max="2053" width="11.28515625" style="191" customWidth="1"/>
    <col min="2054" max="2054" width="11.7109375" style="191" customWidth="1"/>
    <col min="2055" max="2055" width="0" style="191" hidden="1" customWidth="1"/>
    <col min="2056" max="2056" width="11.7109375" style="191" customWidth="1"/>
    <col min="2057" max="2058" width="12.42578125" style="191" customWidth="1"/>
    <col min="2059" max="2059" width="12.7109375" style="191" customWidth="1"/>
    <col min="2060" max="2060" width="12.85546875" style="191" customWidth="1"/>
    <col min="2061" max="2061" width="11.28515625" style="191" customWidth="1"/>
    <col min="2062" max="2062" width="0" style="191" hidden="1" customWidth="1"/>
    <col min="2063" max="2063" width="12.140625" style="191" customWidth="1"/>
    <col min="2064" max="2064" width="11.7109375" style="191" customWidth="1"/>
    <col min="2065" max="2065" width="12" style="191" customWidth="1"/>
    <col min="2066" max="2066" width="19.140625" style="191" customWidth="1"/>
    <col min="2067" max="2067" width="16.140625" style="191" bestFit="1" customWidth="1"/>
    <col min="2068" max="2068" width="28.140625" style="191" customWidth="1"/>
    <col min="2069" max="2069" width="10.28515625" style="191" bestFit="1" customWidth="1"/>
    <col min="2070" max="2070" width="5.85546875" style="191" customWidth="1"/>
    <col min="2071" max="2071" width="39.5703125" style="191" bestFit="1" customWidth="1"/>
    <col min="2072" max="2072" width="17.42578125" style="191" bestFit="1" customWidth="1"/>
    <col min="2073" max="2073" width="13" style="191" bestFit="1" customWidth="1"/>
    <col min="2074" max="2074" width="24.5703125" style="191" bestFit="1" customWidth="1"/>
    <col min="2075" max="2075" width="37.42578125" style="191" bestFit="1" customWidth="1"/>
    <col min="2076" max="2076" width="30.7109375" style="191" bestFit="1" customWidth="1"/>
    <col min="2077" max="2077" width="21.28515625" style="191" bestFit="1" customWidth="1"/>
    <col min="2078" max="2078" width="25.5703125" style="191" bestFit="1" customWidth="1"/>
    <col min="2079" max="2079" width="30" style="191" bestFit="1" customWidth="1"/>
    <col min="2080" max="2080" width="31.28515625" style="191" bestFit="1" customWidth="1"/>
    <col min="2081" max="2081" width="21.7109375" style="191" bestFit="1" customWidth="1"/>
    <col min="2082" max="2083" width="21.28515625" style="191" bestFit="1" customWidth="1"/>
    <col min="2084" max="2084" width="20.140625" style="191" bestFit="1" customWidth="1"/>
    <col min="2085" max="2304" width="9.140625" style="191"/>
    <col min="2305" max="2305" width="1.85546875" style="191" customWidth="1"/>
    <col min="2306" max="2306" width="6.140625" style="191" customWidth="1"/>
    <col min="2307" max="2307" width="29.7109375" style="191" customWidth="1"/>
    <col min="2308" max="2308" width="11.5703125" style="191" customWidth="1"/>
    <col min="2309" max="2309" width="11.28515625" style="191" customWidth="1"/>
    <col min="2310" max="2310" width="11.7109375" style="191" customWidth="1"/>
    <col min="2311" max="2311" width="0" style="191" hidden="1" customWidth="1"/>
    <col min="2312" max="2312" width="11.7109375" style="191" customWidth="1"/>
    <col min="2313" max="2314" width="12.42578125" style="191" customWidth="1"/>
    <col min="2315" max="2315" width="12.7109375" style="191" customWidth="1"/>
    <col min="2316" max="2316" width="12.85546875" style="191" customWidth="1"/>
    <col min="2317" max="2317" width="11.28515625" style="191" customWidth="1"/>
    <col min="2318" max="2318" width="0" style="191" hidden="1" customWidth="1"/>
    <col min="2319" max="2319" width="12.140625" style="191" customWidth="1"/>
    <col min="2320" max="2320" width="11.7109375" style="191" customWidth="1"/>
    <col min="2321" max="2321" width="12" style="191" customWidth="1"/>
    <col min="2322" max="2322" width="19.140625" style="191" customWidth="1"/>
    <col min="2323" max="2323" width="16.140625" style="191" bestFit="1" customWidth="1"/>
    <col min="2324" max="2324" width="28.140625" style="191" customWidth="1"/>
    <col min="2325" max="2325" width="10.28515625" style="191" bestFit="1" customWidth="1"/>
    <col min="2326" max="2326" width="5.85546875" style="191" customWidth="1"/>
    <col min="2327" max="2327" width="39.5703125" style="191" bestFit="1" customWidth="1"/>
    <col min="2328" max="2328" width="17.42578125" style="191" bestFit="1" customWidth="1"/>
    <col min="2329" max="2329" width="13" style="191" bestFit="1" customWidth="1"/>
    <col min="2330" max="2330" width="24.5703125" style="191" bestFit="1" customWidth="1"/>
    <col min="2331" max="2331" width="37.42578125" style="191" bestFit="1" customWidth="1"/>
    <col min="2332" max="2332" width="30.7109375" style="191" bestFit="1" customWidth="1"/>
    <col min="2333" max="2333" width="21.28515625" style="191" bestFit="1" customWidth="1"/>
    <col min="2334" max="2334" width="25.5703125" style="191" bestFit="1" customWidth="1"/>
    <col min="2335" max="2335" width="30" style="191" bestFit="1" customWidth="1"/>
    <col min="2336" max="2336" width="31.28515625" style="191" bestFit="1" customWidth="1"/>
    <col min="2337" max="2337" width="21.7109375" style="191" bestFit="1" customWidth="1"/>
    <col min="2338" max="2339" width="21.28515625" style="191" bestFit="1" customWidth="1"/>
    <col min="2340" max="2340" width="20.140625" style="191" bestFit="1" customWidth="1"/>
    <col min="2341" max="2560" width="9.140625" style="191"/>
    <col min="2561" max="2561" width="1.85546875" style="191" customWidth="1"/>
    <col min="2562" max="2562" width="6.140625" style="191" customWidth="1"/>
    <col min="2563" max="2563" width="29.7109375" style="191" customWidth="1"/>
    <col min="2564" max="2564" width="11.5703125" style="191" customWidth="1"/>
    <col min="2565" max="2565" width="11.28515625" style="191" customWidth="1"/>
    <col min="2566" max="2566" width="11.7109375" style="191" customWidth="1"/>
    <col min="2567" max="2567" width="0" style="191" hidden="1" customWidth="1"/>
    <col min="2568" max="2568" width="11.7109375" style="191" customWidth="1"/>
    <col min="2569" max="2570" width="12.42578125" style="191" customWidth="1"/>
    <col min="2571" max="2571" width="12.7109375" style="191" customWidth="1"/>
    <col min="2572" max="2572" width="12.85546875" style="191" customWidth="1"/>
    <col min="2573" max="2573" width="11.28515625" style="191" customWidth="1"/>
    <col min="2574" max="2574" width="0" style="191" hidden="1" customWidth="1"/>
    <col min="2575" max="2575" width="12.140625" style="191" customWidth="1"/>
    <col min="2576" max="2576" width="11.7109375" style="191" customWidth="1"/>
    <col min="2577" max="2577" width="12" style="191" customWidth="1"/>
    <col min="2578" max="2578" width="19.140625" style="191" customWidth="1"/>
    <col min="2579" max="2579" width="16.140625" style="191" bestFit="1" customWidth="1"/>
    <col min="2580" max="2580" width="28.140625" style="191" customWidth="1"/>
    <col min="2581" max="2581" width="10.28515625" style="191" bestFit="1" customWidth="1"/>
    <col min="2582" max="2582" width="5.85546875" style="191" customWidth="1"/>
    <col min="2583" max="2583" width="39.5703125" style="191" bestFit="1" customWidth="1"/>
    <col min="2584" max="2584" width="17.42578125" style="191" bestFit="1" customWidth="1"/>
    <col min="2585" max="2585" width="13" style="191" bestFit="1" customWidth="1"/>
    <col min="2586" max="2586" width="24.5703125" style="191" bestFit="1" customWidth="1"/>
    <col min="2587" max="2587" width="37.42578125" style="191" bestFit="1" customWidth="1"/>
    <col min="2588" max="2588" width="30.7109375" style="191" bestFit="1" customWidth="1"/>
    <col min="2589" max="2589" width="21.28515625" style="191" bestFit="1" customWidth="1"/>
    <col min="2590" max="2590" width="25.5703125" style="191" bestFit="1" customWidth="1"/>
    <col min="2591" max="2591" width="30" style="191" bestFit="1" customWidth="1"/>
    <col min="2592" max="2592" width="31.28515625" style="191" bestFit="1" customWidth="1"/>
    <col min="2593" max="2593" width="21.7109375" style="191" bestFit="1" customWidth="1"/>
    <col min="2594" max="2595" width="21.28515625" style="191" bestFit="1" customWidth="1"/>
    <col min="2596" max="2596" width="20.140625" style="191" bestFit="1" customWidth="1"/>
    <col min="2597" max="2816" width="9.140625" style="191"/>
    <col min="2817" max="2817" width="1.85546875" style="191" customWidth="1"/>
    <col min="2818" max="2818" width="6.140625" style="191" customWidth="1"/>
    <col min="2819" max="2819" width="29.7109375" style="191" customWidth="1"/>
    <col min="2820" max="2820" width="11.5703125" style="191" customWidth="1"/>
    <col min="2821" max="2821" width="11.28515625" style="191" customWidth="1"/>
    <col min="2822" max="2822" width="11.7109375" style="191" customWidth="1"/>
    <col min="2823" max="2823" width="0" style="191" hidden="1" customWidth="1"/>
    <col min="2824" max="2824" width="11.7109375" style="191" customWidth="1"/>
    <col min="2825" max="2826" width="12.42578125" style="191" customWidth="1"/>
    <col min="2827" max="2827" width="12.7109375" style="191" customWidth="1"/>
    <col min="2828" max="2828" width="12.85546875" style="191" customWidth="1"/>
    <col min="2829" max="2829" width="11.28515625" style="191" customWidth="1"/>
    <col min="2830" max="2830" width="0" style="191" hidden="1" customWidth="1"/>
    <col min="2831" max="2831" width="12.140625" style="191" customWidth="1"/>
    <col min="2832" max="2832" width="11.7109375" style="191" customWidth="1"/>
    <col min="2833" max="2833" width="12" style="191" customWidth="1"/>
    <col min="2834" max="2834" width="19.140625" style="191" customWidth="1"/>
    <col min="2835" max="2835" width="16.140625" style="191" bestFit="1" customWidth="1"/>
    <col min="2836" max="2836" width="28.140625" style="191" customWidth="1"/>
    <col min="2837" max="2837" width="10.28515625" style="191" bestFit="1" customWidth="1"/>
    <col min="2838" max="2838" width="5.85546875" style="191" customWidth="1"/>
    <col min="2839" max="2839" width="39.5703125" style="191" bestFit="1" customWidth="1"/>
    <col min="2840" max="2840" width="17.42578125" style="191" bestFit="1" customWidth="1"/>
    <col min="2841" max="2841" width="13" style="191" bestFit="1" customWidth="1"/>
    <col min="2842" max="2842" width="24.5703125" style="191" bestFit="1" customWidth="1"/>
    <col min="2843" max="2843" width="37.42578125" style="191" bestFit="1" customWidth="1"/>
    <col min="2844" max="2844" width="30.7109375" style="191" bestFit="1" customWidth="1"/>
    <col min="2845" max="2845" width="21.28515625" style="191" bestFit="1" customWidth="1"/>
    <col min="2846" max="2846" width="25.5703125" style="191" bestFit="1" customWidth="1"/>
    <col min="2847" max="2847" width="30" style="191" bestFit="1" customWidth="1"/>
    <col min="2848" max="2848" width="31.28515625" style="191" bestFit="1" customWidth="1"/>
    <col min="2849" max="2849" width="21.7109375" style="191" bestFit="1" customWidth="1"/>
    <col min="2850" max="2851" width="21.28515625" style="191" bestFit="1" customWidth="1"/>
    <col min="2852" max="2852" width="20.140625" style="191" bestFit="1" customWidth="1"/>
    <col min="2853" max="3072" width="9.140625" style="191"/>
    <col min="3073" max="3073" width="1.85546875" style="191" customWidth="1"/>
    <col min="3074" max="3074" width="6.140625" style="191" customWidth="1"/>
    <col min="3075" max="3075" width="29.7109375" style="191" customWidth="1"/>
    <col min="3076" max="3076" width="11.5703125" style="191" customWidth="1"/>
    <col min="3077" max="3077" width="11.28515625" style="191" customWidth="1"/>
    <col min="3078" max="3078" width="11.7109375" style="191" customWidth="1"/>
    <col min="3079" max="3079" width="0" style="191" hidden="1" customWidth="1"/>
    <col min="3080" max="3080" width="11.7109375" style="191" customWidth="1"/>
    <col min="3081" max="3082" width="12.42578125" style="191" customWidth="1"/>
    <col min="3083" max="3083" width="12.7109375" style="191" customWidth="1"/>
    <col min="3084" max="3084" width="12.85546875" style="191" customWidth="1"/>
    <col min="3085" max="3085" width="11.28515625" style="191" customWidth="1"/>
    <col min="3086" max="3086" width="0" style="191" hidden="1" customWidth="1"/>
    <col min="3087" max="3087" width="12.140625" style="191" customWidth="1"/>
    <col min="3088" max="3088" width="11.7109375" style="191" customWidth="1"/>
    <col min="3089" max="3089" width="12" style="191" customWidth="1"/>
    <col min="3090" max="3090" width="19.140625" style="191" customWidth="1"/>
    <col min="3091" max="3091" width="16.140625" style="191" bestFit="1" customWidth="1"/>
    <col min="3092" max="3092" width="28.140625" style="191" customWidth="1"/>
    <col min="3093" max="3093" width="10.28515625" style="191" bestFit="1" customWidth="1"/>
    <col min="3094" max="3094" width="5.85546875" style="191" customWidth="1"/>
    <col min="3095" max="3095" width="39.5703125" style="191" bestFit="1" customWidth="1"/>
    <col min="3096" max="3096" width="17.42578125" style="191" bestFit="1" customWidth="1"/>
    <col min="3097" max="3097" width="13" style="191" bestFit="1" customWidth="1"/>
    <col min="3098" max="3098" width="24.5703125" style="191" bestFit="1" customWidth="1"/>
    <col min="3099" max="3099" width="37.42578125" style="191" bestFit="1" customWidth="1"/>
    <col min="3100" max="3100" width="30.7109375" style="191" bestFit="1" customWidth="1"/>
    <col min="3101" max="3101" width="21.28515625" style="191" bestFit="1" customWidth="1"/>
    <col min="3102" max="3102" width="25.5703125" style="191" bestFit="1" customWidth="1"/>
    <col min="3103" max="3103" width="30" style="191" bestFit="1" customWidth="1"/>
    <col min="3104" max="3104" width="31.28515625" style="191" bestFit="1" customWidth="1"/>
    <col min="3105" max="3105" width="21.7109375" style="191" bestFit="1" customWidth="1"/>
    <col min="3106" max="3107" width="21.28515625" style="191" bestFit="1" customWidth="1"/>
    <col min="3108" max="3108" width="20.140625" style="191" bestFit="1" customWidth="1"/>
    <col min="3109" max="3328" width="9.140625" style="191"/>
    <col min="3329" max="3329" width="1.85546875" style="191" customWidth="1"/>
    <col min="3330" max="3330" width="6.140625" style="191" customWidth="1"/>
    <col min="3331" max="3331" width="29.7109375" style="191" customWidth="1"/>
    <col min="3332" max="3332" width="11.5703125" style="191" customWidth="1"/>
    <col min="3333" max="3333" width="11.28515625" style="191" customWidth="1"/>
    <col min="3334" max="3334" width="11.7109375" style="191" customWidth="1"/>
    <col min="3335" max="3335" width="0" style="191" hidden="1" customWidth="1"/>
    <col min="3336" max="3336" width="11.7109375" style="191" customWidth="1"/>
    <col min="3337" max="3338" width="12.42578125" style="191" customWidth="1"/>
    <col min="3339" max="3339" width="12.7109375" style="191" customWidth="1"/>
    <col min="3340" max="3340" width="12.85546875" style="191" customWidth="1"/>
    <col min="3341" max="3341" width="11.28515625" style="191" customWidth="1"/>
    <col min="3342" max="3342" width="0" style="191" hidden="1" customWidth="1"/>
    <col min="3343" max="3343" width="12.140625" style="191" customWidth="1"/>
    <col min="3344" max="3344" width="11.7109375" style="191" customWidth="1"/>
    <col min="3345" max="3345" width="12" style="191" customWidth="1"/>
    <col min="3346" max="3346" width="19.140625" style="191" customWidth="1"/>
    <col min="3347" max="3347" width="16.140625" style="191" bestFit="1" customWidth="1"/>
    <col min="3348" max="3348" width="28.140625" style="191" customWidth="1"/>
    <col min="3349" max="3349" width="10.28515625" style="191" bestFit="1" customWidth="1"/>
    <col min="3350" max="3350" width="5.85546875" style="191" customWidth="1"/>
    <col min="3351" max="3351" width="39.5703125" style="191" bestFit="1" customWidth="1"/>
    <col min="3352" max="3352" width="17.42578125" style="191" bestFit="1" customWidth="1"/>
    <col min="3353" max="3353" width="13" style="191" bestFit="1" customWidth="1"/>
    <col min="3354" max="3354" width="24.5703125" style="191" bestFit="1" customWidth="1"/>
    <col min="3355" max="3355" width="37.42578125" style="191" bestFit="1" customWidth="1"/>
    <col min="3356" max="3356" width="30.7109375" style="191" bestFit="1" customWidth="1"/>
    <col min="3357" max="3357" width="21.28515625" style="191" bestFit="1" customWidth="1"/>
    <col min="3358" max="3358" width="25.5703125" style="191" bestFit="1" customWidth="1"/>
    <col min="3359" max="3359" width="30" style="191" bestFit="1" customWidth="1"/>
    <col min="3360" max="3360" width="31.28515625" style="191" bestFit="1" customWidth="1"/>
    <col min="3361" max="3361" width="21.7109375" style="191" bestFit="1" customWidth="1"/>
    <col min="3362" max="3363" width="21.28515625" style="191" bestFit="1" customWidth="1"/>
    <col min="3364" max="3364" width="20.140625" style="191" bestFit="1" customWidth="1"/>
    <col min="3365" max="3584" width="9.140625" style="191"/>
    <col min="3585" max="3585" width="1.85546875" style="191" customWidth="1"/>
    <col min="3586" max="3586" width="6.140625" style="191" customWidth="1"/>
    <col min="3587" max="3587" width="29.7109375" style="191" customWidth="1"/>
    <col min="3588" max="3588" width="11.5703125" style="191" customWidth="1"/>
    <col min="3589" max="3589" width="11.28515625" style="191" customWidth="1"/>
    <col min="3590" max="3590" width="11.7109375" style="191" customWidth="1"/>
    <col min="3591" max="3591" width="0" style="191" hidden="1" customWidth="1"/>
    <col min="3592" max="3592" width="11.7109375" style="191" customWidth="1"/>
    <col min="3593" max="3594" width="12.42578125" style="191" customWidth="1"/>
    <col min="3595" max="3595" width="12.7109375" style="191" customWidth="1"/>
    <col min="3596" max="3596" width="12.85546875" style="191" customWidth="1"/>
    <col min="3597" max="3597" width="11.28515625" style="191" customWidth="1"/>
    <col min="3598" max="3598" width="0" style="191" hidden="1" customWidth="1"/>
    <col min="3599" max="3599" width="12.140625" style="191" customWidth="1"/>
    <col min="3600" max="3600" width="11.7109375" style="191" customWidth="1"/>
    <col min="3601" max="3601" width="12" style="191" customWidth="1"/>
    <col min="3602" max="3602" width="19.140625" style="191" customWidth="1"/>
    <col min="3603" max="3603" width="16.140625" style="191" bestFit="1" customWidth="1"/>
    <col min="3604" max="3604" width="28.140625" style="191" customWidth="1"/>
    <col min="3605" max="3605" width="10.28515625" style="191" bestFit="1" customWidth="1"/>
    <col min="3606" max="3606" width="5.85546875" style="191" customWidth="1"/>
    <col min="3607" max="3607" width="39.5703125" style="191" bestFit="1" customWidth="1"/>
    <col min="3608" max="3608" width="17.42578125" style="191" bestFit="1" customWidth="1"/>
    <col min="3609" max="3609" width="13" style="191" bestFit="1" customWidth="1"/>
    <col min="3610" max="3610" width="24.5703125" style="191" bestFit="1" customWidth="1"/>
    <col min="3611" max="3611" width="37.42578125" style="191" bestFit="1" customWidth="1"/>
    <col min="3612" max="3612" width="30.7109375" style="191" bestFit="1" customWidth="1"/>
    <col min="3613" max="3613" width="21.28515625" style="191" bestFit="1" customWidth="1"/>
    <col min="3614" max="3614" width="25.5703125" style="191" bestFit="1" customWidth="1"/>
    <col min="3615" max="3615" width="30" style="191" bestFit="1" customWidth="1"/>
    <col min="3616" max="3616" width="31.28515625" style="191" bestFit="1" customWidth="1"/>
    <col min="3617" max="3617" width="21.7109375" style="191" bestFit="1" customWidth="1"/>
    <col min="3618" max="3619" width="21.28515625" style="191" bestFit="1" customWidth="1"/>
    <col min="3620" max="3620" width="20.140625" style="191" bestFit="1" customWidth="1"/>
    <col min="3621" max="3840" width="9.140625" style="191"/>
    <col min="3841" max="3841" width="1.85546875" style="191" customWidth="1"/>
    <col min="3842" max="3842" width="6.140625" style="191" customWidth="1"/>
    <col min="3843" max="3843" width="29.7109375" style="191" customWidth="1"/>
    <col min="3844" max="3844" width="11.5703125" style="191" customWidth="1"/>
    <col min="3845" max="3845" width="11.28515625" style="191" customWidth="1"/>
    <col min="3846" max="3846" width="11.7109375" style="191" customWidth="1"/>
    <col min="3847" max="3847" width="0" style="191" hidden="1" customWidth="1"/>
    <col min="3848" max="3848" width="11.7109375" style="191" customWidth="1"/>
    <col min="3849" max="3850" width="12.42578125" style="191" customWidth="1"/>
    <col min="3851" max="3851" width="12.7109375" style="191" customWidth="1"/>
    <col min="3852" max="3852" width="12.85546875" style="191" customWidth="1"/>
    <col min="3853" max="3853" width="11.28515625" style="191" customWidth="1"/>
    <col min="3854" max="3854" width="0" style="191" hidden="1" customWidth="1"/>
    <col min="3855" max="3855" width="12.140625" style="191" customWidth="1"/>
    <col min="3856" max="3856" width="11.7109375" style="191" customWidth="1"/>
    <col min="3857" max="3857" width="12" style="191" customWidth="1"/>
    <col min="3858" max="3858" width="19.140625" style="191" customWidth="1"/>
    <col min="3859" max="3859" width="16.140625" style="191" bestFit="1" customWidth="1"/>
    <col min="3860" max="3860" width="28.140625" style="191" customWidth="1"/>
    <col min="3861" max="3861" width="10.28515625" style="191" bestFit="1" customWidth="1"/>
    <col min="3862" max="3862" width="5.85546875" style="191" customWidth="1"/>
    <col min="3863" max="3863" width="39.5703125" style="191" bestFit="1" customWidth="1"/>
    <col min="3864" max="3864" width="17.42578125" style="191" bestFit="1" customWidth="1"/>
    <col min="3865" max="3865" width="13" style="191" bestFit="1" customWidth="1"/>
    <col min="3866" max="3866" width="24.5703125" style="191" bestFit="1" customWidth="1"/>
    <col min="3867" max="3867" width="37.42578125" style="191" bestFit="1" customWidth="1"/>
    <col min="3868" max="3868" width="30.7109375" style="191" bestFit="1" customWidth="1"/>
    <col min="3869" max="3869" width="21.28515625" style="191" bestFit="1" customWidth="1"/>
    <col min="3870" max="3870" width="25.5703125" style="191" bestFit="1" customWidth="1"/>
    <col min="3871" max="3871" width="30" style="191" bestFit="1" customWidth="1"/>
    <col min="3872" max="3872" width="31.28515625" style="191" bestFit="1" customWidth="1"/>
    <col min="3873" max="3873" width="21.7109375" style="191" bestFit="1" customWidth="1"/>
    <col min="3874" max="3875" width="21.28515625" style="191" bestFit="1" customWidth="1"/>
    <col min="3876" max="3876" width="20.140625" style="191" bestFit="1" customWidth="1"/>
    <col min="3877" max="4096" width="9.140625" style="191"/>
    <col min="4097" max="4097" width="1.85546875" style="191" customWidth="1"/>
    <col min="4098" max="4098" width="6.140625" style="191" customWidth="1"/>
    <col min="4099" max="4099" width="29.7109375" style="191" customWidth="1"/>
    <col min="4100" max="4100" width="11.5703125" style="191" customWidth="1"/>
    <col min="4101" max="4101" width="11.28515625" style="191" customWidth="1"/>
    <col min="4102" max="4102" width="11.7109375" style="191" customWidth="1"/>
    <col min="4103" max="4103" width="0" style="191" hidden="1" customWidth="1"/>
    <col min="4104" max="4104" width="11.7109375" style="191" customWidth="1"/>
    <col min="4105" max="4106" width="12.42578125" style="191" customWidth="1"/>
    <col min="4107" max="4107" width="12.7109375" style="191" customWidth="1"/>
    <col min="4108" max="4108" width="12.85546875" style="191" customWidth="1"/>
    <col min="4109" max="4109" width="11.28515625" style="191" customWidth="1"/>
    <col min="4110" max="4110" width="0" style="191" hidden="1" customWidth="1"/>
    <col min="4111" max="4111" width="12.140625" style="191" customWidth="1"/>
    <col min="4112" max="4112" width="11.7109375" style="191" customWidth="1"/>
    <col min="4113" max="4113" width="12" style="191" customWidth="1"/>
    <col min="4114" max="4114" width="19.140625" style="191" customWidth="1"/>
    <col min="4115" max="4115" width="16.140625" style="191" bestFit="1" customWidth="1"/>
    <col min="4116" max="4116" width="28.140625" style="191" customWidth="1"/>
    <col min="4117" max="4117" width="10.28515625" style="191" bestFit="1" customWidth="1"/>
    <col min="4118" max="4118" width="5.85546875" style="191" customWidth="1"/>
    <col min="4119" max="4119" width="39.5703125" style="191" bestFit="1" customWidth="1"/>
    <col min="4120" max="4120" width="17.42578125" style="191" bestFit="1" customWidth="1"/>
    <col min="4121" max="4121" width="13" style="191" bestFit="1" customWidth="1"/>
    <col min="4122" max="4122" width="24.5703125" style="191" bestFit="1" customWidth="1"/>
    <col min="4123" max="4123" width="37.42578125" style="191" bestFit="1" customWidth="1"/>
    <col min="4124" max="4124" width="30.7109375" style="191" bestFit="1" customWidth="1"/>
    <col min="4125" max="4125" width="21.28515625" style="191" bestFit="1" customWidth="1"/>
    <col min="4126" max="4126" width="25.5703125" style="191" bestFit="1" customWidth="1"/>
    <col min="4127" max="4127" width="30" style="191" bestFit="1" customWidth="1"/>
    <col min="4128" max="4128" width="31.28515625" style="191" bestFit="1" customWidth="1"/>
    <col min="4129" max="4129" width="21.7109375" style="191" bestFit="1" customWidth="1"/>
    <col min="4130" max="4131" width="21.28515625" style="191" bestFit="1" customWidth="1"/>
    <col min="4132" max="4132" width="20.140625" style="191" bestFit="1" customWidth="1"/>
    <col min="4133" max="4352" width="9.140625" style="191"/>
    <col min="4353" max="4353" width="1.85546875" style="191" customWidth="1"/>
    <col min="4354" max="4354" width="6.140625" style="191" customWidth="1"/>
    <col min="4355" max="4355" width="29.7109375" style="191" customWidth="1"/>
    <col min="4356" max="4356" width="11.5703125" style="191" customWidth="1"/>
    <col min="4357" max="4357" width="11.28515625" style="191" customWidth="1"/>
    <col min="4358" max="4358" width="11.7109375" style="191" customWidth="1"/>
    <col min="4359" max="4359" width="0" style="191" hidden="1" customWidth="1"/>
    <col min="4360" max="4360" width="11.7109375" style="191" customWidth="1"/>
    <col min="4361" max="4362" width="12.42578125" style="191" customWidth="1"/>
    <col min="4363" max="4363" width="12.7109375" style="191" customWidth="1"/>
    <col min="4364" max="4364" width="12.85546875" style="191" customWidth="1"/>
    <col min="4365" max="4365" width="11.28515625" style="191" customWidth="1"/>
    <col min="4366" max="4366" width="0" style="191" hidden="1" customWidth="1"/>
    <col min="4367" max="4367" width="12.140625" style="191" customWidth="1"/>
    <col min="4368" max="4368" width="11.7109375" style="191" customWidth="1"/>
    <col min="4369" max="4369" width="12" style="191" customWidth="1"/>
    <col min="4370" max="4370" width="19.140625" style="191" customWidth="1"/>
    <col min="4371" max="4371" width="16.140625" style="191" bestFit="1" customWidth="1"/>
    <col min="4372" max="4372" width="28.140625" style="191" customWidth="1"/>
    <col min="4373" max="4373" width="10.28515625" style="191" bestFit="1" customWidth="1"/>
    <col min="4374" max="4374" width="5.85546875" style="191" customWidth="1"/>
    <col min="4375" max="4375" width="39.5703125" style="191" bestFit="1" customWidth="1"/>
    <col min="4376" max="4376" width="17.42578125" style="191" bestFit="1" customWidth="1"/>
    <col min="4377" max="4377" width="13" style="191" bestFit="1" customWidth="1"/>
    <col min="4378" max="4378" width="24.5703125" style="191" bestFit="1" customWidth="1"/>
    <col min="4379" max="4379" width="37.42578125" style="191" bestFit="1" customWidth="1"/>
    <col min="4380" max="4380" width="30.7109375" style="191" bestFit="1" customWidth="1"/>
    <col min="4381" max="4381" width="21.28515625" style="191" bestFit="1" customWidth="1"/>
    <col min="4382" max="4382" width="25.5703125" style="191" bestFit="1" customWidth="1"/>
    <col min="4383" max="4383" width="30" style="191" bestFit="1" customWidth="1"/>
    <col min="4384" max="4384" width="31.28515625" style="191" bestFit="1" customWidth="1"/>
    <col min="4385" max="4385" width="21.7109375" style="191" bestFit="1" customWidth="1"/>
    <col min="4386" max="4387" width="21.28515625" style="191" bestFit="1" customWidth="1"/>
    <col min="4388" max="4388" width="20.140625" style="191" bestFit="1" customWidth="1"/>
    <col min="4389" max="4608" width="9.140625" style="191"/>
    <col min="4609" max="4609" width="1.85546875" style="191" customWidth="1"/>
    <col min="4610" max="4610" width="6.140625" style="191" customWidth="1"/>
    <col min="4611" max="4611" width="29.7109375" style="191" customWidth="1"/>
    <col min="4612" max="4612" width="11.5703125" style="191" customWidth="1"/>
    <col min="4613" max="4613" width="11.28515625" style="191" customWidth="1"/>
    <col min="4614" max="4614" width="11.7109375" style="191" customWidth="1"/>
    <col min="4615" max="4615" width="0" style="191" hidden="1" customWidth="1"/>
    <col min="4616" max="4616" width="11.7109375" style="191" customWidth="1"/>
    <col min="4617" max="4618" width="12.42578125" style="191" customWidth="1"/>
    <col min="4619" max="4619" width="12.7109375" style="191" customWidth="1"/>
    <col min="4620" max="4620" width="12.85546875" style="191" customWidth="1"/>
    <col min="4621" max="4621" width="11.28515625" style="191" customWidth="1"/>
    <col min="4622" max="4622" width="0" style="191" hidden="1" customWidth="1"/>
    <col min="4623" max="4623" width="12.140625" style="191" customWidth="1"/>
    <col min="4624" max="4624" width="11.7109375" style="191" customWidth="1"/>
    <col min="4625" max="4625" width="12" style="191" customWidth="1"/>
    <col min="4626" max="4626" width="19.140625" style="191" customWidth="1"/>
    <col min="4627" max="4627" width="16.140625" style="191" bestFit="1" customWidth="1"/>
    <col min="4628" max="4628" width="28.140625" style="191" customWidth="1"/>
    <col min="4629" max="4629" width="10.28515625" style="191" bestFit="1" customWidth="1"/>
    <col min="4630" max="4630" width="5.85546875" style="191" customWidth="1"/>
    <col min="4631" max="4631" width="39.5703125" style="191" bestFit="1" customWidth="1"/>
    <col min="4632" max="4632" width="17.42578125" style="191" bestFit="1" customWidth="1"/>
    <col min="4633" max="4633" width="13" style="191" bestFit="1" customWidth="1"/>
    <col min="4634" max="4634" width="24.5703125" style="191" bestFit="1" customWidth="1"/>
    <col min="4635" max="4635" width="37.42578125" style="191" bestFit="1" customWidth="1"/>
    <col min="4636" max="4636" width="30.7109375" style="191" bestFit="1" customWidth="1"/>
    <col min="4637" max="4637" width="21.28515625" style="191" bestFit="1" customWidth="1"/>
    <col min="4638" max="4638" width="25.5703125" style="191" bestFit="1" customWidth="1"/>
    <col min="4639" max="4639" width="30" style="191" bestFit="1" customWidth="1"/>
    <col min="4640" max="4640" width="31.28515625" style="191" bestFit="1" customWidth="1"/>
    <col min="4641" max="4641" width="21.7109375" style="191" bestFit="1" customWidth="1"/>
    <col min="4642" max="4643" width="21.28515625" style="191" bestFit="1" customWidth="1"/>
    <col min="4644" max="4644" width="20.140625" style="191" bestFit="1" customWidth="1"/>
    <col min="4645" max="4864" width="9.140625" style="191"/>
    <col min="4865" max="4865" width="1.85546875" style="191" customWidth="1"/>
    <col min="4866" max="4866" width="6.140625" style="191" customWidth="1"/>
    <col min="4867" max="4867" width="29.7109375" style="191" customWidth="1"/>
    <col min="4868" max="4868" width="11.5703125" style="191" customWidth="1"/>
    <col min="4869" max="4869" width="11.28515625" style="191" customWidth="1"/>
    <col min="4870" max="4870" width="11.7109375" style="191" customWidth="1"/>
    <col min="4871" max="4871" width="0" style="191" hidden="1" customWidth="1"/>
    <col min="4872" max="4872" width="11.7109375" style="191" customWidth="1"/>
    <col min="4873" max="4874" width="12.42578125" style="191" customWidth="1"/>
    <col min="4875" max="4875" width="12.7109375" style="191" customWidth="1"/>
    <col min="4876" max="4876" width="12.85546875" style="191" customWidth="1"/>
    <col min="4877" max="4877" width="11.28515625" style="191" customWidth="1"/>
    <col min="4878" max="4878" width="0" style="191" hidden="1" customWidth="1"/>
    <col min="4879" max="4879" width="12.140625" style="191" customWidth="1"/>
    <col min="4880" max="4880" width="11.7109375" style="191" customWidth="1"/>
    <col min="4881" max="4881" width="12" style="191" customWidth="1"/>
    <col min="4882" max="4882" width="19.140625" style="191" customWidth="1"/>
    <col min="4883" max="4883" width="16.140625" style="191" bestFit="1" customWidth="1"/>
    <col min="4884" max="4884" width="28.140625" style="191" customWidth="1"/>
    <col min="4885" max="4885" width="10.28515625" style="191" bestFit="1" customWidth="1"/>
    <col min="4886" max="4886" width="5.85546875" style="191" customWidth="1"/>
    <col min="4887" max="4887" width="39.5703125" style="191" bestFit="1" customWidth="1"/>
    <col min="4888" max="4888" width="17.42578125" style="191" bestFit="1" customWidth="1"/>
    <col min="4889" max="4889" width="13" style="191" bestFit="1" customWidth="1"/>
    <col min="4890" max="4890" width="24.5703125" style="191" bestFit="1" customWidth="1"/>
    <col min="4891" max="4891" width="37.42578125" style="191" bestFit="1" customWidth="1"/>
    <col min="4892" max="4892" width="30.7109375" style="191" bestFit="1" customWidth="1"/>
    <col min="4893" max="4893" width="21.28515625" style="191" bestFit="1" customWidth="1"/>
    <col min="4894" max="4894" width="25.5703125" style="191" bestFit="1" customWidth="1"/>
    <col min="4895" max="4895" width="30" style="191" bestFit="1" customWidth="1"/>
    <col min="4896" max="4896" width="31.28515625" style="191" bestFit="1" customWidth="1"/>
    <col min="4897" max="4897" width="21.7109375" style="191" bestFit="1" customWidth="1"/>
    <col min="4898" max="4899" width="21.28515625" style="191" bestFit="1" customWidth="1"/>
    <col min="4900" max="4900" width="20.140625" style="191" bestFit="1" customWidth="1"/>
    <col min="4901" max="5120" width="9.140625" style="191"/>
    <col min="5121" max="5121" width="1.85546875" style="191" customWidth="1"/>
    <col min="5122" max="5122" width="6.140625" style="191" customWidth="1"/>
    <col min="5123" max="5123" width="29.7109375" style="191" customWidth="1"/>
    <col min="5124" max="5124" width="11.5703125" style="191" customWidth="1"/>
    <col min="5125" max="5125" width="11.28515625" style="191" customWidth="1"/>
    <col min="5126" max="5126" width="11.7109375" style="191" customWidth="1"/>
    <col min="5127" max="5127" width="0" style="191" hidden="1" customWidth="1"/>
    <col min="5128" max="5128" width="11.7109375" style="191" customWidth="1"/>
    <col min="5129" max="5130" width="12.42578125" style="191" customWidth="1"/>
    <col min="5131" max="5131" width="12.7109375" style="191" customWidth="1"/>
    <col min="5132" max="5132" width="12.85546875" style="191" customWidth="1"/>
    <col min="5133" max="5133" width="11.28515625" style="191" customWidth="1"/>
    <col min="5134" max="5134" width="0" style="191" hidden="1" customWidth="1"/>
    <col min="5135" max="5135" width="12.140625" style="191" customWidth="1"/>
    <col min="5136" max="5136" width="11.7109375" style="191" customWidth="1"/>
    <col min="5137" max="5137" width="12" style="191" customWidth="1"/>
    <col min="5138" max="5138" width="19.140625" style="191" customWidth="1"/>
    <col min="5139" max="5139" width="16.140625" style="191" bestFit="1" customWidth="1"/>
    <col min="5140" max="5140" width="28.140625" style="191" customWidth="1"/>
    <col min="5141" max="5141" width="10.28515625" style="191" bestFit="1" customWidth="1"/>
    <col min="5142" max="5142" width="5.85546875" style="191" customWidth="1"/>
    <col min="5143" max="5143" width="39.5703125" style="191" bestFit="1" customWidth="1"/>
    <col min="5144" max="5144" width="17.42578125" style="191" bestFit="1" customWidth="1"/>
    <col min="5145" max="5145" width="13" style="191" bestFit="1" customWidth="1"/>
    <col min="5146" max="5146" width="24.5703125" style="191" bestFit="1" customWidth="1"/>
    <col min="5147" max="5147" width="37.42578125" style="191" bestFit="1" customWidth="1"/>
    <col min="5148" max="5148" width="30.7109375" style="191" bestFit="1" customWidth="1"/>
    <col min="5149" max="5149" width="21.28515625" style="191" bestFit="1" customWidth="1"/>
    <col min="5150" max="5150" width="25.5703125" style="191" bestFit="1" customWidth="1"/>
    <col min="5151" max="5151" width="30" style="191" bestFit="1" customWidth="1"/>
    <col min="5152" max="5152" width="31.28515625" style="191" bestFit="1" customWidth="1"/>
    <col min="5153" max="5153" width="21.7109375" style="191" bestFit="1" customWidth="1"/>
    <col min="5154" max="5155" width="21.28515625" style="191" bestFit="1" customWidth="1"/>
    <col min="5156" max="5156" width="20.140625" style="191" bestFit="1" customWidth="1"/>
    <col min="5157" max="5376" width="9.140625" style="191"/>
    <col min="5377" max="5377" width="1.85546875" style="191" customWidth="1"/>
    <col min="5378" max="5378" width="6.140625" style="191" customWidth="1"/>
    <col min="5379" max="5379" width="29.7109375" style="191" customWidth="1"/>
    <col min="5380" max="5380" width="11.5703125" style="191" customWidth="1"/>
    <col min="5381" max="5381" width="11.28515625" style="191" customWidth="1"/>
    <col min="5382" max="5382" width="11.7109375" style="191" customWidth="1"/>
    <col min="5383" max="5383" width="0" style="191" hidden="1" customWidth="1"/>
    <col min="5384" max="5384" width="11.7109375" style="191" customWidth="1"/>
    <col min="5385" max="5386" width="12.42578125" style="191" customWidth="1"/>
    <col min="5387" max="5387" width="12.7109375" style="191" customWidth="1"/>
    <col min="5388" max="5388" width="12.85546875" style="191" customWidth="1"/>
    <col min="5389" max="5389" width="11.28515625" style="191" customWidth="1"/>
    <col min="5390" max="5390" width="0" style="191" hidden="1" customWidth="1"/>
    <col min="5391" max="5391" width="12.140625" style="191" customWidth="1"/>
    <col min="5392" max="5392" width="11.7109375" style="191" customWidth="1"/>
    <col min="5393" max="5393" width="12" style="191" customWidth="1"/>
    <col min="5394" max="5394" width="19.140625" style="191" customWidth="1"/>
    <col min="5395" max="5395" width="16.140625" style="191" bestFit="1" customWidth="1"/>
    <col min="5396" max="5396" width="28.140625" style="191" customWidth="1"/>
    <col min="5397" max="5397" width="10.28515625" style="191" bestFit="1" customWidth="1"/>
    <col min="5398" max="5398" width="5.85546875" style="191" customWidth="1"/>
    <col min="5399" max="5399" width="39.5703125" style="191" bestFit="1" customWidth="1"/>
    <col min="5400" max="5400" width="17.42578125" style="191" bestFit="1" customWidth="1"/>
    <col min="5401" max="5401" width="13" style="191" bestFit="1" customWidth="1"/>
    <col min="5402" max="5402" width="24.5703125" style="191" bestFit="1" customWidth="1"/>
    <col min="5403" max="5403" width="37.42578125" style="191" bestFit="1" customWidth="1"/>
    <col min="5404" max="5404" width="30.7109375" style="191" bestFit="1" customWidth="1"/>
    <col min="5405" max="5405" width="21.28515625" style="191" bestFit="1" customWidth="1"/>
    <col min="5406" max="5406" width="25.5703125" style="191" bestFit="1" customWidth="1"/>
    <col min="5407" max="5407" width="30" style="191" bestFit="1" customWidth="1"/>
    <col min="5408" max="5408" width="31.28515625" style="191" bestFit="1" customWidth="1"/>
    <col min="5409" max="5409" width="21.7109375" style="191" bestFit="1" customWidth="1"/>
    <col min="5410" max="5411" width="21.28515625" style="191" bestFit="1" customWidth="1"/>
    <col min="5412" max="5412" width="20.140625" style="191" bestFit="1" customWidth="1"/>
    <col min="5413" max="5632" width="9.140625" style="191"/>
    <col min="5633" max="5633" width="1.85546875" style="191" customWidth="1"/>
    <col min="5634" max="5634" width="6.140625" style="191" customWidth="1"/>
    <col min="5635" max="5635" width="29.7109375" style="191" customWidth="1"/>
    <col min="5636" max="5636" width="11.5703125" style="191" customWidth="1"/>
    <col min="5637" max="5637" width="11.28515625" style="191" customWidth="1"/>
    <col min="5638" max="5638" width="11.7109375" style="191" customWidth="1"/>
    <col min="5639" max="5639" width="0" style="191" hidden="1" customWidth="1"/>
    <col min="5640" max="5640" width="11.7109375" style="191" customWidth="1"/>
    <col min="5641" max="5642" width="12.42578125" style="191" customWidth="1"/>
    <col min="5643" max="5643" width="12.7109375" style="191" customWidth="1"/>
    <col min="5644" max="5644" width="12.85546875" style="191" customWidth="1"/>
    <col min="5645" max="5645" width="11.28515625" style="191" customWidth="1"/>
    <col min="5646" max="5646" width="0" style="191" hidden="1" customWidth="1"/>
    <col min="5647" max="5647" width="12.140625" style="191" customWidth="1"/>
    <col min="5648" max="5648" width="11.7109375" style="191" customWidth="1"/>
    <col min="5649" max="5649" width="12" style="191" customWidth="1"/>
    <col min="5650" max="5650" width="19.140625" style="191" customWidth="1"/>
    <col min="5651" max="5651" width="16.140625" style="191" bestFit="1" customWidth="1"/>
    <col min="5652" max="5652" width="28.140625" style="191" customWidth="1"/>
    <col min="5653" max="5653" width="10.28515625" style="191" bestFit="1" customWidth="1"/>
    <col min="5654" max="5654" width="5.85546875" style="191" customWidth="1"/>
    <col min="5655" max="5655" width="39.5703125" style="191" bestFit="1" customWidth="1"/>
    <col min="5656" max="5656" width="17.42578125" style="191" bestFit="1" customWidth="1"/>
    <col min="5657" max="5657" width="13" style="191" bestFit="1" customWidth="1"/>
    <col min="5658" max="5658" width="24.5703125" style="191" bestFit="1" customWidth="1"/>
    <col min="5659" max="5659" width="37.42578125" style="191" bestFit="1" customWidth="1"/>
    <col min="5660" max="5660" width="30.7109375" style="191" bestFit="1" customWidth="1"/>
    <col min="5661" max="5661" width="21.28515625" style="191" bestFit="1" customWidth="1"/>
    <col min="5662" max="5662" width="25.5703125" style="191" bestFit="1" customWidth="1"/>
    <col min="5663" max="5663" width="30" style="191" bestFit="1" customWidth="1"/>
    <col min="5664" max="5664" width="31.28515625" style="191" bestFit="1" customWidth="1"/>
    <col min="5665" max="5665" width="21.7109375" style="191" bestFit="1" customWidth="1"/>
    <col min="5666" max="5667" width="21.28515625" style="191" bestFit="1" customWidth="1"/>
    <col min="5668" max="5668" width="20.140625" style="191" bestFit="1" customWidth="1"/>
    <col min="5669" max="5888" width="9.140625" style="191"/>
    <col min="5889" max="5889" width="1.85546875" style="191" customWidth="1"/>
    <col min="5890" max="5890" width="6.140625" style="191" customWidth="1"/>
    <col min="5891" max="5891" width="29.7109375" style="191" customWidth="1"/>
    <col min="5892" max="5892" width="11.5703125" style="191" customWidth="1"/>
    <col min="5893" max="5893" width="11.28515625" style="191" customWidth="1"/>
    <col min="5894" max="5894" width="11.7109375" style="191" customWidth="1"/>
    <col min="5895" max="5895" width="0" style="191" hidden="1" customWidth="1"/>
    <col min="5896" max="5896" width="11.7109375" style="191" customWidth="1"/>
    <col min="5897" max="5898" width="12.42578125" style="191" customWidth="1"/>
    <col min="5899" max="5899" width="12.7109375" style="191" customWidth="1"/>
    <col min="5900" max="5900" width="12.85546875" style="191" customWidth="1"/>
    <col min="5901" max="5901" width="11.28515625" style="191" customWidth="1"/>
    <col min="5902" max="5902" width="0" style="191" hidden="1" customWidth="1"/>
    <col min="5903" max="5903" width="12.140625" style="191" customWidth="1"/>
    <col min="5904" max="5904" width="11.7109375" style="191" customWidth="1"/>
    <col min="5905" max="5905" width="12" style="191" customWidth="1"/>
    <col min="5906" max="5906" width="19.140625" style="191" customWidth="1"/>
    <col min="5907" max="5907" width="16.140625" style="191" bestFit="1" customWidth="1"/>
    <col min="5908" max="5908" width="28.140625" style="191" customWidth="1"/>
    <col min="5909" max="5909" width="10.28515625" style="191" bestFit="1" customWidth="1"/>
    <col min="5910" max="5910" width="5.85546875" style="191" customWidth="1"/>
    <col min="5911" max="5911" width="39.5703125" style="191" bestFit="1" customWidth="1"/>
    <col min="5912" max="5912" width="17.42578125" style="191" bestFit="1" customWidth="1"/>
    <col min="5913" max="5913" width="13" style="191" bestFit="1" customWidth="1"/>
    <col min="5914" max="5914" width="24.5703125" style="191" bestFit="1" customWidth="1"/>
    <col min="5915" max="5915" width="37.42578125" style="191" bestFit="1" customWidth="1"/>
    <col min="5916" max="5916" width="30.7109375" style="191" bestFit="1" customWidth="1"/>
    <col min="5917" max="5917" width="21.28515625" style="191" bestFit="1" customWidth="1"/>
    <col min="5918" max="5918" width="25.5703125" style="191" bestFit="1" customWidth="1"/>
    <col min="5919" max="5919" width="30" style="191" bestFit="1" customWidth="1"/>
    <col min="5920" max="5920" width="31.28515625" style="191" bestFit="1" customWidth="1"/>
    <col min="5921" max="5921" width="21.7109375" style="191" bestFit="1" customWidth="1"/>
    <col min="5922" max="5923" width="21.28515625" style="191" bestFit="1" customWidth="1"/>
    <col min="5924" max="5924" width="20.140625" style="191" bestFit="1" customWidth="1"/>
    <col min="5925" max="6144" width="9.140625" style="191"/>
    <col min="6145" max="6145" width="1.85546875" style="191" customWidth="1"/>
    <col min="6146" max="6146" width="6.140625" style="191" customWidth="1"/>
    <col min="6147" max="6147" width="29.7109375" style="191" customWidth="1"/>
    <col min="6148" max="6148" width="11.5703125" style="191" customWidth="1"/>
    <col min="6149" max="6149" width="11.28515625" style="191" customWidth="1"/>
    <col min="6150" max="6150" width="11.7109375" style="191" customWidth="1"/>
    <col min="6151" max="6151" width="0" style="191" hidden="1" customWidth="1"/>
    <col min="6152" max="6152" width="11.7109375" style="191" customWidth="1"/>
    <col min="6153" max="6154" width="12.42578125" style="191" customWidth="1"/>
    <col min="6155" max="6155" width="12.7109375" style="191" customWidth="1"/>
    <col min="6156" max="6156" width="12.85546875" style="191" customWidth="1"/>
    <col min="6157" max="6157" width="11.28515625" style="191" customWidth="1"/>
    <col min="6158" max="6158" width="0" style="191" hidden="1" customWidth="1"/>
    <col min="6159" max="6159" width="12.140625" style="191" customWidth="1"/>
    <col min="6160" max="6160" width="11.7109375" style="191" customWidth="1"/>
    <col min="6161" max="6161" width="12" style="191" customWidth="1"/>
    <col min="6162" max="6162" width="19.140625" style="191" customWidth="1"/>
    <col min="6163" max="6163" width="16.140625" style="191" bestFit="1" customWidth="1"/>
    <col min="6164" max="6164" width="28.140625" style="191" customWidth="1"/>
    <col min="6165" max="6165" width="10.28515625" style="191" bestFit="1" customWidth="1"/>
    <col min="6166" max="6166" width="5.85546875" style="191" customWidth="1"/>
    <col min="6167" max="6167" width="39.5703125" style="191" bestFit="1" customWidth="1"/>
    <col min="6168" max="6168" width="17.42578125" style="191" bestFit="1" customWidth="1"/>
    <col min="6169" max="6169" width="13" style="191" bestFit="1" customWidth="1"/>
    <col min="6170" max="6170" width="24.5703125" style="191" bestFit="1" customWidth="1"/>
    <col min="6171" max="6171" width="37.42578125" style="191" bestFit="1" customWidth="1"/>
    <col min="6172" max="6172" width="30.7109375" style="191" bestFit="1" customWidth="1"/>
    <col min="6173" max="6173" width="21.28515625" style="191" bestFit="1" customWidth="1"/>
    <col min="6174" max="6174" width="25.5703125" style="191" bestFit="1" customWidth="1"/>
    <col min="6175" max="6175" width="30" style="191" bestFit="1" customWidth="1"/>
    <col min="6176" max="6176" width="31.28515625" style="191" bestFit="1" customWidth="1"/>
    <col min="6177" max="6177" width="21.7109375" style="191" bestFit="1" customWidth="1"/>
    <col min="6178" max="6179" width="21.28515625" style="191" bestFit="1" customWidth="1"/>
    <col min="6180" max="6180" width="20.140625" style="191" bestFit="1" customWidth="1"/>
    <col min="6181" max="6400" width="9.140625" style="191"/>
    <col min="6401" max="6401" width="1.85546875" style="191" customWidth="1"/>
    <col min="6402" max="6402" width="6.140625" style="191" customWidth="1"/>
    <col min="6403" max="6403" width="29.7109375" style="191" customWidth="1"/>
    <col min="6404" max="6404" width="11.5703125" style="191" customWidth="1"/>
    <col min="6405" max="6405" width="11.28515625" style="191" customWidth="1"/>
    <col min="6406" max="6406" width="11.7109375" style="191" customWidth="1"/>
    <col min="6407" max="6407" width="0" style="191" hidden="1" customWidth="1"/>
    <col min="6408" max="6408" width="11.7109375" style="191" customWidth="1"/>
    <col min="6409" max="6410" width="12.42578125" style="191" customWidth="1"/>
    <col min="6411" max="6411" width="12.7109375" style="191" customWidth="1"/>
    <col min="6412" max="6412" width="12.85546875" style="191" customWidth="1"/>
    <col min="6413" max="6413" width="11.28515625" style="191" customWidth="1"/>
    <col min="6414" max="6414" width="0" style="191" hidden="1" customWidth="1"/>
    <col min="6415" max="6415" width="12.140625" style="191" customWidth="1"/>
    <col min="6416" max="6416" width="11.7109375" style="191" customWidth="1"/>
    <col min="6417" max="6417" width="12" style="191" customWidth="1"/>
    <col min="6418" max="6418" width="19.140625" style="191" customWidth="1"/>
    <col min="6419" max="6419" width="16.140625" style="191" bestFit="1" customWidth="1"/>
    <col min="6420" max="6420" width="28.140625" style="191" customWidth="1"/>
    <col min="6421" max="6421" width="10.28515625" style="191" bestFit="1" customWidth="1"/>
    <col min="6422" max="6422" width="5.85546875" style="191" customWidth="1"/>
    <col min="6423" max="6423" width="39.5703125" style="191" bestFit="1" customWidth="1"/>
    <col min="6424" max="6424" width="17.42578125" style="191" bestFit="1" customWidth="1"/>
    <col min="6425" max="6425" width="13" style="191" bestFit="1" customWidth="1"/>
    <col min="6426" max="6426" width="24.5703125" style="191" bestFit="1" customWidth="1"/>
    <col min="6427" max="6427" width="37.42578125" style="191" bestFit="1" customWidth="1"/>
    <col min="6428" max="6428" width="30.7109375" style="191" bestFit="1" customWidth="1"/>
    <col min="6429" max="6429" width="21.28515625" style="191" bestFit="1" customWidth="1"/>
    <col min="6430" max="6430" width="25.5703125" style="191" bestFit="1" customWidth="1"/>
    <col min="6431" max="6431" width="30" style="191" bestFit="1" customWidth="1"/>
    <col min="6432" max="6432" width="31.28515625" style="191" bestFit="1" customWidth="1"/>
    <col min="6433" max="6433" width="21.7109375" style="191" bestFit="1" customWidth="1"/>
    <col min="6434" max="6435" width="21.28515625" style="191" bestFit="1" customWidth="1"/>
    <col min="6436" max="6436" width="20.140625" style="191" bestFit="1" customWidth="1"/>
    <col min="6437" max="6656" width="9.140625" style="191"/>
    <col min="6657" max="6657" width="1.85546875" style="191" customWidth="1"/>
    <col min="6658" max="6658" width="6.140625" style="191" customWidth="1"/>
    <col min="6659" max="6659" width="29.7109375" style="191" customWidth="1"/>
    <col min="6660" max="6660" width="11.5703125" style="191" customWidth="1"/>
    <col min="6661" max="6661" width="11.28515625" style="191" customWidth="1"/>
    <col min="6662" max="6662" width="11.7109375" style="191" customWidth="1"/>
    <col min="6663" max="6663" width="0" style="191" hidden="1" customWidth="1"/>
    <col min="6664" max="6664" width="11.7109375" style="191" customWidth="1"/>
    <col min="6665" max="6666" width="12.42578125" style="191" customWidth="1"/>
    <col min="6667" max="6667" width="12.7109375" style="191" customWidth="1"/>
    <col min="6668" max="6668" width="12.85546875" style="191" customWidth="1"/>
    <col min="6669" max="6669" width="11.28515625" style="191" customWidth="1"/>
    <col min="6670" max="6670" width="0" style="191" hidden="1" customWidth="1"/>
    <col min="6671" max="6671" width="12.140625" style="191" customWidth="1"/>
    <col min="6672" max="6672" width="11.7109375" style="191" customWidth="1"/>
    <col min="6673" max="6673" width="12" style="191" customWidth="1"/>
    <col min="6674" max="6674" width="19.140625" style="191" customWidth="1"/>
    <col min="6675" max="6675" width="16.140625" style="191" bestFit="1" customWidth="1"/>
    <col min="6676" max="6676" width="28.140625" style="191" customWidth="1"/>
    <col min="6677" max="6677" width="10.28515625" style="191" bestFit="1" customWidth="1"/>
    <col min="6678" max="6678" width="5.85546875" style="191" customWidth="1"/>
    <col min="6679" max="6679" width="39.5703125" style="191" bestFit="1" customWidth="1"/>
    <col min="6680" max="6680" width="17.42578125" style="191" bestFit="1" customWidth="1"/>
    <col min="6681" max="6681" width="13" style="191" bestFit="1" customWidth="1"/>
    <col min="6682" max="6682" width="24.5703125" style="191" bestFit="1" customWidth="1"/>
    <col min="6683" max="6683" width="37.42578125" style="191" bestFit="1" customWidth="1"/>
    <col min="6684" max="6684" width="30.7109375" style="191" bestFit="1" customWidth="1"/>
    <col min="6685" max="6685" width="21.28515625" style="191" bestFit="1" customWidth="1"/>
    <col min="6686" max="6686" width="25.5703125" style="191" bestFit="1" customWidth="1"/>
    <col min="6687" max="6687" width="30" style="191" bestFit="1" customWidth="1"/>
    <col min="6688" max="6688" width="31.28515625" style="191" bestFit="1" customWidth="1"/>
    <col min="6689" max="6689" width="21.7109375" style="191" bestFit="1" customWidth="1"/>
    <col min="6690" max="6691" width="21.28515625" style="191" bestFit="1" customWidth="1"/>
    <col min="6692" max="6692" width="20.140625" style="191" bestFit="1" customWidth="1"/>
    <col min="6693" max="6912" width="9.140625" style="191"/>
    <col min="6913" max="6913" width="1.85546875" style="191" customWidth="1"/>
    <col min="6914" max="6914" width="6.140625" style="191" customWidth="1"/>
    <col min="6915" max="6915" width="29.7109375" style="191" customWidth="1"/>
    <col min="6916" max="6916" width="11.5703125" style="191" customWidth="1"/>
    <col min="6917" max="6917" width="11.28515625" style="191" customWidth="1"/>
    <col min="6918" max="6918" width="11.7109375" style="191" customWidth="1"/>
    <col min="6919" max="6919" width="0" style="191" hidden="1" customWidth="1"/>
    <col min="6920" max="6920" width="11.7109375" style="191" customWidth="1"/>
    <col min="6921" max="6922" width="12.42578125" style="191" customWidth="1"/>
    <col min="6923" max="6923" width="12.7109375" style="191" customWidth="1"/>
    <col min="6924" max="6924" width="12.85546875" style="191" customWidth="1"/>
    <col min="6925" max="6925" width="11.28515625" style="191" customWidth="1"/>
    <col min="6926" max="6926" width="0" style="191" hidden="1" customWidth="1"/>
    <col min="6927" max="6927" width="12.140625" style="191" customWidth="1"/>
    <col min="6928" max="6928" width="11.7109375" style="191" customWidth="1"/>
    <col min="6929" max="6929" width="12" style="191" customWidth="1"/>
    <col min="6930" max="6930" width="19.140625" style="191" customWidth="1"/>
    <col min="6931" max="6931" width="16.140625" style="191" bestFit="1" customWidth="1"/>
    <col min="6932" max="6932" width="28.140625" style="191" customWidth="1"/>
    <col min="6933" max="6933" width="10.28515625" style="191" bestFit="1" customWidth="1"/>
    <col min="6934" max="6934" width="5.85546875" style="191" customWidth="1"/>
    <col min="6935" max="6935" width="39.5703125" style="191" bestFit="1" customWidth="1"/>
    <col min="6936" max="6936" width="17.42578125" style="191" bestFit="1" customWidth="1"/>
    <col min="6937" max="6937" width="13" style="191" bestFit="1" customWidth="1"/>
    <col min="6938" max="6938" width="24.5703125" style="191" bestFit="1" customWidth="1"/>
    <col min="6939" max="6939" width="37.42578125" style="191" bestFit="1" customWidth="1"/>
    <col min="6940" max="6940" width="30.7109375" style="191" bestFit="1" customWidth="1"/>
    <col min="6941" max="6941" width="21.28515625" style="191" bestFit="1" customWidth="1"/>
    <col min="6942" max="6942" width="25.5703125" style="191" bestFit="1" customWidth="1"/>
    <col min="6943" max="6943" width="30" style="191" bestFit="1" customWidth="1"/>
    <col min="6944" max="6944" width="31.28515625" style="191" bestFit="1" customWidth="1"/>
    <col min="6945" max="6945" width="21.7109375" style="191" bestFit="1" customWidth="1"/>
    <col min="6946" max="6947" width="21.28515625" style="191" bestFit="1" customWidth="1"/>
    <col min="6948" max="6948" width="20.140625" style="191" bestFit="1" customWidth="1"/>
    <col min="6949" max="7168" width="9.140625" style="191"/>
    <col min="7169" max="7169" width="1.85546875" style="191" customWidth="1"/>
    <col min="7170" max="7170" width="6.140625" style="191" customWidth="1"/>
    <col min="7171" max="7171" width="29.7109375" style="191" customWidth="1"/>
    <col min="7172" max="7172" width="11.5703125" style="191" customWidth="1"/>
    <col min="7173" max="7173" width="11.28515625" style="191" customWidth="1"/>
    <col min="7174" max="7174" width="11.7109375" style="191" customWidth="1"/>
    <col min="7175" max="7175" width="0" style="191" hidden="1" customWidth="1"/>
    <col min="7176" max="7176" width="11.7109375" style="191" customWidth="1"/>
    <col min="7177" max="7178" width="12.42578125" style="191" customWidth="1"/>
    <col min="7179" max="7179" width="12.7109375" style="191" customWidth="1"/>
    <col min="7180" max="7180" width="12.85546875" style="191" customWidth="1"/>
    <col min="7181" max="7181" width="11.28515625" style="191" customWidth="1"/>
    <col min="7182" max="7182" width="0" style="191" hidden="1" customWidth="1"/>
    <col min="7183" max="7183" width="12.140625" style="191" customWidth="1"/>
    <col min="7184" max="7184" width="11.7109375" style="191" customWidth="1"/>
    <col min="7185" max="7185" width="12" style="191" customWidth="1"/>
    <col min="7186" max="7186" width="19.140625" style="191" customWidth="1"/>
    <col min="7187" max="7187" width="16.140625" style="191" bestFit="1" customWidth="1"/>
    <col min="7188" max="7188" width="28.140625" style="191" customWidth="1"/>
    <col min="7189" max="7189" width="10.28515625" style="191" bestFit="1" customWidth="1"/>
    <col min="7190" max="7190" width="5.85546875" style="191" customWidth="1"/>
    <col min="7191" max="7191" width="39.5703125" style="191" bestFit="1" customWidth="1"/>
    <col min="7192" max="7192" width="17.42578125" style="191" bestFit="1" customWidth="1"/>
    <col min="7193" max="7193" width="13" style="191" bestFit="1" customWidth="1"/>
    <col min="7194" max="7194" width="24.5703125" style="191" bestFit="1" customWidth="1"/>
    <col min="7195" max="7195" width="37.42578125" style="191" bestFit="1" customWidth="1"/>
    <col min="7196" max="7196" width="30.7109375" style="191" bestFit="1" customWidth="1"/>
    <col min="7197" max="7197" width="21.28515625" style="191" bestFit="1" customWidth="1"/>
    <col min="7198" max="7198" width="25.5703125" style="191" bestFit="1" customWidth="1"/>
    <col min="7199" max="7199" width="30" style="191" bestFit="1" customWidth="1"/>
    <col min="7200" max="7200" width="31.28515625" style="191" bestFit="1" customWidth="1"/>
    <col min="7201" max="7201" width="21.7109375" style="191" bestFit="1" customWidth="1"/>
    <col min="7202" max="7203" width="21.28515625" style="191" bestFit="1" customWidth="1"/>
    <col min="7204" max="7204" width="20.140625" style="191" bestFit="1" customWidth="1"/>
    <col min="7205" max="7424" width="9.140625" style="191"/>
    <col min="7425" max="7425" width="1.85546875" style="191" customWidth="1"/>
    <col min="7426" max="7426" width="6.140625" style="191" customWidth="1"/>
    <col min="7427" max="7427" width="29.7109375" style="191" customWidth="1"/>
    <col min="7428" max="7428" width="11.5703125" style="191" customWidth="1"/>
    <col min="7429" max="7429" width="11.28515625" style="191" customWidth="1"/>
    <col min="7430" max="7430" width="11.7109375" style="191" customWidth="1"/>
    <col min="7431" max="7431" width="0" style="191" hidden="1" customWidth="1"/>
    <col min="7432" max="7432" width="11.7109375" style="191" customWidth="1"/>
    <col min="7433" max="7434" width="12.42578125" style="191" customWidth="1"/>
    <col min="7435" max="7435" width="12.7109375" style="191" customWidth="1"/>
    <col min="7436" max="7436" width="12.85546875" style="191" customWidth="1"/>
    <col min="7437" max="7437" width="11.28515625" style="191" customWidth="1"/>
    <col min="7438" max="7438" width="0" style="191" hidden="1" customWidth="1"/>
    <col min="7439" max="7439" width="12.140625" style="191" customWidth="1"/>
    <col min="7440" max="7440" width="11.7109375" style="191" customWidth="1"/>
    <col min="7441" max="7441" width="12" style="191" customWidth="1"/>
    <col min="7442" max="7442" width="19.140625" style="191" customWidth="1"/>
    <col min="7443" max="7443" width="16.140625" style="191" bestFit="1" customWidth="1"/>
    <col min="7444" max="7444" width="28.140625" style="191" customWidth="1"/>
    <col min="7445" max="7445" width="10.28515625" style="191" bestFit="1" customWidth="1"/>
    <col min="7446" max="7446" width="5.85546875" style="191" customWidth="1"/>
    <col min="7447" max="7447" width="39.5703125" style="191" bestFit="1" customWidth="1"/>
    <col min="7448" max="7448" width="17.42578125" style="191" bestFit="1" customWidth="1"/>
    <col min="7449" max="7449" width="13" style="191" bestFit="1" customWidth="1"/>
    <col min="7450" max="7450" width="24.5703125" style="191" bestFit="1" customWidth="1"/>
    <col min="7451" max="7451" width="37.42578125" style="191" bestFit="1" customWidth="1"/>
    <col min="7452" max="7452" width="30.7109375" style="191" bestFit="1" customWidth="1"/>
    <col min="7453" max="7453" width="21.28515625" style="191" bestFit="1" customWidth="1"/>
    <col min="7454" max="7454" width="25.5703125" style="191" bestFit="1" customWidth="1"/>
    <col min="7455" max="7455" width="30" style="191" bestFit="1" customWidth="1"/>
    <col min="7456" max="7456" width="31.28515625" style="191" bestFit="1" customWidth="1"/>
    <col min="7457" max="7457" width="21.7109375" style="191" bestFit="1" customWidth="1"/>
    <col min="7458" max="7459" width="21.28515625" style="191" bestFit="1" customWidth="1"/>
    <col min="7460" max="7460" width="20.140625" style="191" bestFit="1" customWidth="1"/>
    <col min="7461" max="7680" width="9.140625" style="191"/>
    <col min="7681" max="7681" width="1.85546875" style="191" customWidth="1"/>
    <col min="7682" max="7682" width="6.140625" style="191" customWidth="1"/>
    <col min="7683" max="7683" width="29.7109375" style="191" customWidth="1"/>
    <col min="7684" max="7684" width="11.5703125" style="191" customWidth="1"/>
    <col min="7685" max="7685" width="11.28515625" style="191" customWidth="1"/>
    <col min="7686" max="7686" width="11.7109375" style="191" customWidth="1"/>
    <col min="7687" max="7687" width="0" style="191" hidden="1" customWidth="1"/>
    <col min="7688" max="7688" width="11.7109375" style="191" customWidth="1"/>
    <col min="7689" max="7690" width="12.42578125" style="191" customWidth="1"/>
    <col min="7691" max="7691" width="12.7109375" style="191" customWidth="1"/>
    <col min="7692" max="7692" width="12.85546875" style="191" customWidth="1"/>
    <col min="7693" max="7693" width="11.28515625" style="191" customWidth="1"/>
    <col min="7694" max="7694" width="0" style="191" hidden="1" customWidth="1"/>
    <col min="7695" max="7695" width="12.140625" style="191" customWidth="1"/>
    <col min="7696" max="7696" width="11.7109375" style="191" customWidth="1"/>
    <col min="7697" max="7697" width="12" style="191" customWidth="1"/>
    <col min="7698" max="7698" width="19.140625" style="191" customWidth="1"/>
    <col min="7699" max="7699" width="16.140625" style="191" bestFit="1" customWidth="1"/>
    <col min="7700" max="7700" width="28.140625" style="191" customWidth="1"/>
    <col min="7701" max="7701" width="10.28515625" style="191" bestFit="1" customWidth="1"/>
    <col min="7702" max="7702" width="5.85546875" style="191" customWidth="1"/>
    <col min="7703" max="7703" width="39.5703125" style="191" bestFit="1" customWidth="1"/>
    <col min="7704" max="7704" width="17.42578125" style="191" bestFit="1" customWidth="1"/>
    <col min="7705" max="7705" width="13" style="191" bestFit="1" customWidth="1"/>
    <col min="7706" max="7706" width="24.5703125" style="191" bestFit="1" customWidth="1"/>
    <col min="7707" max="7707" width="37.42578125" style="191" bestFit="1" customWidth="1"/>
    <col min="7708" max="7708" width="30.7109375" style="191" bestFit="1" customWidth="1"/>
    <col min="7709" max="7709" width="21.28515625" style="191" bestFit="1" customWidth="1"/>
    <col min="7710" max="7710" width="25.5703125" style="191" bestFit="1" customWidth="1"/>
    <col min="7711" max="7711" width="30" style="191" bestFit="1" customWidth="1"/>
    <col min="7712" max="7712" width="31.28515625" style="191" bestFit="1" customWidth="1"/>
    <col min="7713" max="7713" width="21.7109375" style="191" bestFit="1" customWidth="1"/>
    <col min="7714" max="7715" width="21.28515625" style="191" bestFit="1" customWidth="1"/>
    <col min="7716" max="7716" width="20.140625" style="191" bestFit="1" customWidth="1"/>
    <col min="7717" max="7936" width="9.140625" style="191"/>
    <col min="7937" max="7937" width="1.85546875" style="191" customWidth="1"/>
    <col min="7938" max="7938" width="6.140625" style="191" customWidth="1"/>
    <col min="7939" max="7939" width="29.7109375" style="191" customWidth="1"/>
    <col min="7940" max="7940" width="11.5703125" style="191" customWidth="1"/>
    <col min="7941" max="7941" width="11.28515625" style="191" customWidth="1"/>
    <col min="7942" max="7942" width="11.7109375" style="191" customWidth="1"/>
    <col min="7943" max="7943" width="0" style="191" hidden="1" customWidth="1"/>
    <col min="7944" max="7944" width="11.7109375" style="191" customWidth="1"/>
    <col min="7945" max="7946" width="12.42578125" style="191" customWidth="1"/>
    <col min="7947" max="7947" width="12.7109375" style="191" customWidth="1"/>
    <col min="7948" max="7948" width="12.85546875" style="191" customWidth="1"/>
    <col min="7949" max="7949" width="11.28515625" style="191" customWidth="1"/>
    <col min="7950" max="7950" width="0" style="191" hidden="1" customWidth="1"/>
    <col min="7951" max="7951" width="12.140625" style="191" customWidth="1"/>
    <col min="7952" max="7952" width="11.7109375" style="191" customWidth="1"/>
    <col min="7953" max="7953" width="12" style="191" customWidth="1"/>
    <col min="7954" max="7954" width="19.140625" style="191" customWidth="1"/>
    <col min="7955" max="7955" width="16.140625" style="191" bestFit="1" customWidth="1"/>
    <col min="7956" max="7956" width="28.140625" style="191" customWidth="1"/>
    <col min="7957" max="7957" width="10.28515625" style="191" bestFit="1" customWidth="1"/>
    <col min="7958" max="7958" width="5.85546875" style="191" customWidth="1"/>
    <col min="7959" max="7959" width="39.5703125" style="191" bestFit="1" customWidth="1"/>
    <col min="7960" max="7960" width="17.42578125" style="191" bestFit="1" customWidth="1"/>
    <col min="7961" max="7961" width="13" style="191" bestFit="1" customWidth="1"/>
    <col min="7962" max="7962" width="24.5703125" style="191" bestFit="1" customWidth="1"/>
    <col min="7963" max="7963" width="37.42578125" style="191" bestFit="1" customWidth="1"/>
    <col min="7964" max="7964" width="30.7109375" style="191" bestFit="1" customWidth="1"/>
    <col min="7965" max="7965" width="21.28515625" style="191" bestFit="1" customWidth="1"/>
    <col min="7966" max="7966" width="25.5703125" style="191" bestFit="1" customWidth="1"/>
    <col min="7967" max="7967" width="30" style="191" bestFit="1" customWidth="1"/>
    <col min="7968" max="7968" width="31.28515625" style="191" bestFit="1" customWidth="1"/>
    <col min="7969" max="7969" width="21.7109375" style="191" bestFit="1" customWidth="1"/>
    <col min="7970" max="7971" width="21.28515625" style="191" bestFit="1" customWidth="1"/>
    <col min="7972" max="7972" width="20.140625" style="191" bestFit="1" customWidth="1"/>
    <col min="7973" max="8192" width="9.140625" style="191"/>
    <col min="8193" max="8193" width="1.85546875" style="191" customWidth="1"/>
    <col min="8194" max="8194" width="6.140625" style="191" customWidth="1"/>
    <col min="8195" max="8195" width="29.7109375" style="191" customWidth="1"/>
    <col min="8196" max="8196" width="11.5703125" style="191" customWidth="1"/>
    <col min="8197" max="8197" width="11.28515625" style="191" customWidth="1"/>
    <col min="8198" max="8198" width="11.7109375" style="191" customWidth="1"/>
    <col min="8199" max="8199" width="0" style="191" hidden="1" customWidth="1"/>
    <col min="8200" max="8200" width="11.7109375" style="191" customWidth="1"/>
    <col min="8201" max="8202" width="12.42578125" style="191" customWidth="1"/>
    <col min="8203" max="8203" width="12.7109375" style="191" customWidth="1"/>
    <col min="8204" max="8204" width="12.85546875" style="191" customWidth="1"/>
    <col min="8205" max="8205" width="11.28515625" style="191" customWidth="1"/>
    <col min="8206" max="8206" width="0" style="191" hidden="1" customWidth="1"/>
    <col min="8207" max="8207" width="12.140625" style="191" customWidth="1"/>
    <col min="8208" max="8208" width="11.7109375" style="191" customWidth="1"/>
    <col min="8209" max="8209" width="12" style="191" customWidth="1"/>
    <col min="8210" max="8210" width="19.140625" style="191" customWidth="1"/>
    <col min="8211" max="8211" width="16.140625" style="191" bestFit="1" customWidth="1"/>
    <col min="8212" max="8212" width="28.140625" style="191" customWidth="1"/>
    <col min="8213" max="8213" width="10.28515625" style="191" bestFit="1" customWidth="1"/>
    <col min="8214" max="8214" width="5.85546875" style="191" customWidth="1"/>
    <col min="8215" max="8215" width="39.5703125" style="191" bestFit="1" customWidth="1"/>
    <col min="8216" max="8216" width="17.42578125" style="191" bestFit="1" customWidth="1"/>
    <col min="8217" max="8217" width="13" style="191" bestFit="1" customWidth="1"/>
    <col min="8218" max="8218" width="24.5703125" style="191" bestFit="1" customWidth="1"/>
    <col min="8219" max="8219" width="37.42578125" style="191" bestFit="1" customWidth="1"/>
    <col min="8220" max="8220" width="30.7109375" style="191" bestFit="1" customWidth="1"/>
    <col min="8221" max="8221" width="21.28515625" style="191" bestFit="1" customWidth="1"/>
    <col min="8222" max="8222" width="25.5703125" style="191" bestFit="1" customWidth="1"/>
    <col min="8223" max="8223" width="30" style="191" bestFit="1" customWidth="1"/>
    <col min="8224" max="8224" width="31.28515625" style="191" bestFit="1" customWidth="1"/>
    <col min="8225" max="8225" width="21.7109375" style="191" bestFit="1" customWidth="1"/>
    <col min="8226" max="8227" width="21.28515625" style="191" bestFit="1" customWidth="1"/>
    <col min="8228" max="8228" width="20.140625" style="191" bestFit="1" customWidth="1"/>
    <col min="8229" max="8448" width="9.140625" style="191"/>
    <col min="8449" max="8449" width="1.85546875" style="191" customWidth="1"/>
    <col min="8450" max="8450" width="6.140625" style="191" customWidth="1"/>
    <col min="8451" max="8451" width="29.7109375" style="191" customWidth="1"/>
    <col min="8452" max="8452" width="11.5703125" style="191" customWidth="1"/>
    <col min="8453" max="8453" width="11.28515625" style="191" customWidth="1"/>
    <col min="8454" max="8454" width="11.7109375" style="191" customWidth="1"/>
    <col min="8455" max="8455" width="0" style="191" hidden="1" customWidth="1"/>
    <col min="8456" max="8456" width="11.7109375" style="191" customWidth="1"/>
    <col min="8457" max="8458" width="12.42578125" style="191" customWidth="1"/>
    <col min="8459" max="8459" width="12.7109375" style="191" customWidth="1"/>
    <col min="8460" max="8460" width="12.85546875" style="191" customWidth="1"/>
    <col min="8461" max="8461" width="11.28515625" style="191" customWidth="1"/>
    <col min="8462" max="8462" width="0" style="191" hidden="1" customWidth="1"/>
    <col min="8463" max="8463" width="12.140625" style="191" customWidth="1"/>
    <col min="8464" max="8464" width="11.7109375" style="191" customWidth="1"/>
    <col min="8465" max="8465" width="12" style="191" customWidth="1"/>
    <col min="8466" max="8466" width="19.140625" style="191" customWidth="1"/>
    <col min="8467" max="8467" width="16.140625" style="191" bestFit="1" customWidth="1"/>
    <col min="8468" max="8468" width="28.140625" style="191" customWidth="1"/>
    <col min="8469" max="8469" width="10.28515625" style="191" bestFit="1" customWidth="1"/>
    <col min="8470" max="8470" width="5.85546875" style="191" customWidth="1"/>
    <col min="8471" max="8471" width="39.5703125" style="191" bestFit="1" customWidth="1"/>
    <col min="8472" max="8472" width="17.42578125" style="191" bestFit="1" customWidth="1"/>
    <col min="8473" max="8473" width="13" style="191" bestFit="1" customWidth="1"/>
    <col min="8474" max="8474" width="24.5703125" style="191" bestFit="1" customWidth="1"/>
    <col min="8475" max="8475" width="37.42578125" style="191" bestFit="1" customWidth="1"/>
    <col min="8476" max="8476" width="30.7109375" style="191" bestFit="1" customWidth="1"/>
    <col min="8477" max="8477" width="21.28515625" style="191" bestFit="1" customWidth="1"/>
    <col min="8478" max="8478" width="25.5703125" style="191" bestFit="1" customWidth="1"/>
    <col min="8479" max="8479" width="30" style="191" bestFit="1" customWidth="1"/>
    <col min="8480" max="8480" width="31.28515625" style="191" bestFit="1" customWidth="1"/>
    <col min="8481" max="8481" width="21.7109375" style="191" bestFit="1" customWidth="1"/>
    <col min="8482" max="8483" width="21.28515625" style="191" bestFit="1" customWidth="1"/>
    <col min="8484" max="8484" width="20.140625" style="191" bestFit="1" customWidth="1"/>
    <col min="8485" max="8704" width="9.140625" style="191"/>
    <col min="8705" max="8705" width="1.85546875" style="191" customWidth="1"/>
    <col min="8706" max="8706" width="6.140625" style="191" customWidth="1"/>
    <col min="8707" max="8707" width="29.7109375" style="191" customWidth="1"/>
    <col min="8708" max="8708" width="11.5703125" style="191" customWidth="1"/>
    <col min="8709" max="8709" width="11.28515625" style="191" customWidth="1"/>
    <col min="8710" max="8710" width="11.7109375" style="191" customWidth="1"/>
    <col min="8711" max="8711" width="0" style="191" hidden="1" customWidth="1"/>
    <col min="8712" max="8712" width="11.7109375" style="191" customWidth="1"/>
    <col min="8713" max="8714" width="12.42578125" style="191" customWidth="1"/>
    <col min="8715" max="8715" width="12.7109375" style="191" customWidth="1"/>
    <col min="8716" max="8716" width="12.85546875" style="191" customWidth="1"/>
    <col min="8717" max="8717" width="11.28515625" style="191" customWidth="1"/>
    <col min="8718" max="8718" width="0" style="191" hidden="1" customWidth="1"/>
    <col min="8719" max="8719" width="12.140625" style="191" customWidth="1"/>
    <col min="8720" max="8720" width="11.7109375" style="191" customWidth="1"/>
    <col min="8721" max="8721" width="12" style="191" customWidth="1"/>
    <col min="8722" max="8722" width="19.140625" style="191" customWidth="1"/>
    <col min="8723" max="8723" width="16.140625" style="191" bestFit="1" customWidth="1"/>
    <col min="8724" max="8724" width="28.140625" style="191" customWidth="1"/>
    <col min="8725" max="8725" width="10.28515625" style="191" bestFit="1" customWidth="1"/>
    <col min="8726" max="8726" width="5.85546875" style="191" customWidth="1"/>
    <col min="8727" max="8727" width="39.5703125" style="191" bestFit="1" customWidth="1"/>
    <col min="8728" max="8728" width="17.42578125" style="191" bestFit="1" customWidth="1"/>
    <col min="8729" max="8729" width="13" style="191" bestFit="1" customWidth="1"/>
    <col min="8730" max="8730" width="24.5703125" style="191" bestFit="1" customWidth="1"/>
    <col min="8731" max="8731" width="37.42578125" style="191" bestFit="1" customWidth="1"/>
    <col min="8732" max="8732" width="30.7109375" style="191" bestFit="1" customWidth="1"/>
    <col min="8733" max="8733" width="21.28515625" style="191" bestFit="1" customWidth="1"/>
    <col min="8734" max="8734" width="25.5703125" style="191" bestFit="1" customWidth="1"/>
    <col min="8735" max="8735" width="30" style="191" bestFit="1" customWidth="1"/>
    <col min="8736" max="8736" width="31.28515625" style="191" bestFit="1" customWidth="1"/>
    <col min="8737" max="8737" width="21.7109375" style="191" bestFit="1" customWidth="1"/>
    <col min="8738" max="8739" width="21.28515625" style="191" bestFit="1" customWidth="1"/>
    <col min="8740" max="8740" width="20.140625" style="191" bestFit="1" customWidth="1"/>
    <col min="8741" max="8960" width="9.140625" style="191"/>
    <col min="8961" max="8961" width="1.85546875" style="191" customWidth="1"/>
    <col min="8962" max="8962" width="6.140625" style="191" customWidth="1"/>
    <col min="8963" max="8963" width="29.7109375" style="191" customWidth="1"/>
    <col min="8964" max="8964" width="11.5703125" style="191" customWidth="1"/>
    <col min="8965" max="8965" width="11.28515625" style="191" customWidth="1"/>
    <col min="8966" max="8966" width="11.7109375" style="191" customWidth="1"/>
    <col min="8967" max="8967" width="0" style="191" hidden="1" customWidth="1"/>
    <col min="8968" max="8968" width="11.7109375" style="191" customWidth="1"/>
    <col min="8969" max="8970" width="12.42578125" style="191" customWidth="1"/>
    <col min="8971" max="8971" width="12.7109375" style="191" customWidth="1"/>
    <col min="8972" max="8972" width="12.85546875" style="191" customWidth="1"/>
    <col min="8973" max="8973" width="11.28515625" style="191" customWidth="1"/>
    <col min="8974" max="8974" width="0" style="191" hidden="1" customWidth="1"/>
    <col min="8975" max="8975" width="12.140625" style="191" customWidth="1"/>
    <col min="8976" max="8976" width="11.7109375" style="191" customWidth="1"/>
    <col min="8977" max="8977" width="12" style="191" customWidth="1"/>
    <col min="8978" max="8978" width="19.140625" style="191" customWidth="1"/>
    <col min="8979" max="8979" width="16.140625" style="191" bestFit="1" customWidth="1"/>
    <col min="8980" max="8980" width="28.140625" style="191" customWidth="1"/>
    <col min="8981" max="8981" width="10.28515625" style="191" bestFit="1" customWidth="1"/>
    <col min="8982" max="8982" width="5.85546875" style="191" customWidth="1"/>
    <col min="8983" max="8983" width="39.5703125" style="191" bestFit="1" customWidth="1"/>
    <col min="8984" max="8984" width="17.42578125" style="191" bestFit="1" customWidth="1"/>
    <col min="8985" max="8985" width="13" style="191" bestFit="1" customWidth="1"/>
    <col min="8986" max="8986" width="24.5703125" style="191" bestFit="1" customWidth="1"/>
    <col min="8987" max="8987" width="37.42578125" style="191" bestFit="1" customWidth="1"/>
    <col min="8988" max="8988" width="30.7109375" style="191" bestFit="1" customWidth="1"/>
    <col min="8989" max="8989" width="21.28515625" style="191" bestFit="1" customWidth="1"/>
    <col min="8990" max="8990" width="25.5703125" style="191" bestFit="1" customWidth="1"/>
    <col min="8991" max="8991" width="30" style="191" bestFit="1" customWidth="1"/>
    <col min="8992" max="8992" width="31.28515625" style="191" bestFit="1" customWidth="1"/>
    <col min="8993" max="8993" width="21.7109375" style="191" bestFit="1" customWidth="1"/>
    <col min="8994" max="8995" width="21.28515625" style="191" bestFit="1" customWidth="1"/>
    <col min="8996" max="8996" width="20.140625" style="191" bestFit="1" customWidth="1"/>
    <col min="8997" max="9216" width="9.140625" style="191"/>
    <col min="9217" max="9217" width="1.85546875" style="191" customWidth="1"/>
    <col min="9218" max="9218" width="6.140625" style="191" customWidth="1"/>
    <col min="9219" max="9219" width="29.7109375" style="191" customWidth="1"/>
    <col min="9220" max="9220" width="11.5703125" style="191" customWidth="1"/>
    <col min="9221" max="9221" width="11.28515625" style="191" customWidth="1"/>
    <col min="9222" max="9222" width="11.7109375" style="191" customWidth="1"/>
    <col min="9223" max="9223" width="0" style="191" hidden="1" customWidth="1"/>
    <col min="9224" max="9224" width="11.7109375" style="191" customWidth="1"/>
    <col min="9225" max="9226" width="12.42578125" style="191" customWidth="1"/>
    <col min="9227" max="9227" width="12.7109375" style="191" customWidth="1"/>
    <col min="9228" max="9228" width="12.85546875" style="191" customWidth="1"/>
    <col min="9229" max="9229" width="11.28515625" style="191" customWidth="1"/>
    <col min="9230" max="9230" width="0" style="191" hidden="1" customWidth="1"/>
    <col min="9231" max="9231" width="12.140625" style="191" customWidth="1"/>
    <col min="9232" max="9232" width="11.7109375" style="191" customWidth="1"/>
    <col min="9233" max="9233" width="12" style="191" customWidth="1"/>
    <col min="9234" max="9234" width="19.140625" style="191" customWidth="1"/>
    <col min="9235" max="9235" width="16.140625" style="191" bestFit="1" customWidth="1"/>
    <col min="9236" max="9236" width="28.140625" style="191" customWidth="1"/>
    <col min="9237" max="9237" width="10.28515625" style="191" bestFit="1" customWidth="1"/>
    <col min="9238" max="9238" width="5.85546875" style="191" customWidth="1"/>
    <col min="9239" max="9239" width="39.5703125" style="191" bestFit="1" customWidth="1"/>
    <col min="9240" max="9240" width="17.42578125" style="191" bestFit="1" customWidth="1"/>
    <col min="9241" max="9241" width="13" style="191" bestFit="1" customWidth="1"/>
    <col min="9242" max="9242" width="24.5703125" style="191" bestFit="1" customWidth="1"/>
    <col min="9243" max="9243" width="37.42578125" style="191" bestFit="1" customWidth="1"/>
    <col min="9244" max="9244" width="30.7109375" style="191" bestFit="1" customWidth="1"/>
    <col min="9245" max="9245" width="21.28515625" style="191" bestFit="1" customWidth="1"/>
    <col min="9246" max="9246" width="25.5703125" style="191" bestFit="1" customWidth="1"/>
    <col min="9247" max="9247" width="30" style="191" bestFit="1" customWidth="1"/>
    <col min="9248" max="9248" width="31.28515625" style="191" bestFit="1" customWidth="1"/>
    <col min="9249" max="9249" width="21.7109375" style="191" bestFit="1" customWidth="1"/>
    <col min="9250" max="9251" width="21.28515625" style="191" bestFit="1" customWidth="1"/>
    <col min="9252" max="9252" width="20.140625" style="191" bestFit="1" customWidth="1"/>
    <col min="9253" max="9472" width="9.140625" style="191"/>
    <col min="9473" max="9473" width="1.85546875" style="191" customWidth="1"/>
    <col min="9474" max="9474" width="6.140625" style="191" customWidth="1"/>
    <col min="9475" max="9475" width="29.7109375" style="191" customWidth="1"/>
    <col min="9476" max="9476" width="11.5703125" style="191" customWidth="1"/>
    <col min="9477" max="9477" width="11.28515625" style="191" customWidth="1"/>
    <col min="9478" max="9478" width="11.7109375" style="191" customWidth="1"/>
    <col min="9479" max="9479" width="0" style="191" hidden="1" customWidth="1"/>
    <col min="9480" max="9480" width="11.7109375" style="191" customWidth="1"/>
    <col min="9481" max="9482" width="12.42578125" style="191" customWidth="1"/>
    <col min="9483" max="9483" width="12.7109375" style="191" customWidth="1"/>
    <col min="9484" max="9484" width="12.85546875" style="191" customWidth="1"/>
    <col min="9485" max="9485" width="11.28515625" style="191" customWidth="1"/>
    <col min="9486" max="9486" width="0" style="191" hidden="1" customWidth="1"/>
    <col min="9487" max="9487" width="12.140625" style="191" customWidth="1"/>
    <col min="9488" max="9488" width="11.7109375" style="191" customWidth="1"/>
    <col min="9489" max="9489" width="12" style="191" customWidth="1"/>
    <col min="9490" max="9490" width="19.140625" style="191" customWidth="1"/>
    <col min="9491" max="9491" width="16.140625" style="191" bestFit="1" customWidth="1"/>
    <col min="9492" max="9492" width="28.140625" style="191" customWidth="1"/>
    <col min="9493" max="9493" width="10.28515625" style="191" bestFit="1" customWidth="1"/>
    <col min="9494" max="9494" width="5.85546875" style="191" customWidth="1"/>
    <col min="9495" max="9495" width="39.5703125" style="191" bestFit="1" customWidth="1"/>
    <col min="9496" max="9496" width="17.42578125" style="191" bestFit="1" customWidth="1"/>
    <col min="9497" max="9497" width="13" style="191" bestFit="1" customWidth="1"/>
    <col min="9498" max="9498" width="24.5703125" style="191" bestFit="1" customWidth="1"/>
    <col min="9499" max="9499" width="37.42578125" style="191" bestFit="1" customWidth="1"/>
    <col min="9500" max="9500" width="30.7109375" style="191" bestFit="1" customWidth="1"/>
    <col min="9501" max="9501" width="21.28515625" style="191" bestFit="1" customWidth="1"/>
    <col min="9502" max="9502" width="25.5703125" style="191" bestFit="1" customWidth="1"/>
    <col min="9503" max="9503" width="30" style="191" bestFit="1" customWidth="1"/>
    <col min="9504" max="9504" width="31.28515625" style="191" bestFit="1" customWidth="1"/>
    <col min="9505" max="9505" width="21.7109375" style="191" bestFit="1" customWidth="1"/>
    <col min="9506" max="9507" width="21.28515625" style="191" bestFit="1" customWidth="1"/>
    <col min="9508" max="9508" width="20.140625" style="191" bestFit="1" customWidth="1"/>
    <col min="9509" max="9728" width="9.140625" style="191"/>
    <col min="9729" max="9729" width="1.85546875" style="191" customWidth="1"/>
    <col min="9730" max="9730" width="6.140625" style="191" customWidth="1"/>
    <col min="9731" max="9731" width="29.7109375" style="191" customWidth="1"/>
    <col min="9732" max="9732" width="11.5703125" style="191" customWidth="1"/>
    <col min="9733" max="9733" width="11.28515625" style="191" customWidth="1"/>
    <col min="9734" max="9734" width="11.7109375" style="191" customWidth="1"/>
    <col min="9735" max="9735" width="0" style="191" hidden="1" customWidth="1"/>
    <col min="9736" max="9736" width="11.7109375" style="191" customWidth="1"/>
    <col min="9737" max="9738" width="12.42578125" style="191" customWidth="1"/>
    <col min="9739" max="9739" width="12.7109375" style="191" customWidth="1"/>
    <col min="9740" max="9740" width="12.85546875" style="191" customWidth="1"/>
    <col min="9741" max="9741" width="11.28515625" style="191" customWidth="1"/>
    <col min="9742" max="9742" width="0" style="191" hidden="1" customWidth="1"/>
    <col min="9743" max="9743" width="12.140625" style="191" customWidth="1"/>
    <col min="9744" max="9744" width="11.7109375" style="191" customWidth="1"/>
    <col min="9745" max="9745" width="12" style="191" customWidth="1"/>
    <col min="9746" max="9746" width="19.140625" style="191" customWidth="1"/>
    <col min="9747" max="9747" width="16.140625" style="191" bestFit="1" customWidth="1"/>
    <col min="9748" max="9748" width="28.140625" style="191" customWidth="1"/>
    <col min="9749" max="9749" width="10.28515625" style="191" bestFit="1" customWidth="1"/>
    <col min="9750" max="9750" width="5.85546875" style="191" customWidth="1"/>
    <col min="9751" max="9751" width="39.5703125" style="191" bestFit="1" customWidth="1"/>
    <col min="9752" max="9752" width="17.42578125" style="191" bestFit="1" customWidth="1"/>
    <col min="9753" max="9753" width="13" style="191" bestFit="1" customWidth="1"/>
    <col min="9754" max="9754" width="24.5703125" style="191" bestFit="1" customWidth="1"/>
    <col min="9755" max="9755" width="37.42578125" style="191" bestFit="1" customWidth="1"/>
    <col min="9756" max="9756" width="30.7109375" style="191" bestFit="1" customWidth="1"/>
    <col min="9757" max="9757" width="21.28515625" style="191" bestFit="1" customWidth="1"/>
    <col min="9758" max="9758" width="25.5703125" style="191" bestFit="1" customWidth="1"/>
    <col min="9759" max="9759" width="30" style="191" bestFit="1" customWidth="1"/>
    <col min="9760" max="9760" width="31.28515625" style="191" bestFit="1" customWidth="1"/>
    <col min="9761" max="9761" width="21.7109375" style="191" bestFit="1" customWidth="1"/>
    <col min="9762" max="9763" width="21.28515625" style="191" bestFit="1" customWidth="1"/>
    <col min="9764" max="9764" width="20.140625" style="191" bestFit="1" customWidth="1"/>
    <col min="9765" max="9984" width="9.140625" style="191"/>
    <col min="9985" max="9985" width="1.85546875" style="191" customWidth="1"/>
    <col min="9986" max="9986" width="6.140625" style="191" customWidth="1"/>
    <col min="9987" max="9987" width="29.7109375" style="191" customWidth="1"/>
    <col min="9988" max="9988" width="11.5703125" style="191" customWidth="1"/>
    <col min="9989" max="9989" width="11.28515625" style="191" customWidth="1"/>
    <col min="9990" max="9990" width="11.7109375" style="191" customWidth="1"/>
    <col min="9991" max="9991" width="0" style="191" hidden="1" customWidth="1"/>
    <col min="9992" max="9992" width="11.7109375" style="191" customWidth="1"/>
    <col min="9993" max="9994" width="12.42578125" style="191" customWidth="1"/>
    <col min="9995" max="9995" width="12.7109375" style="191" customWidth="1"/>
    <col min="9996" max="9996" width="12.85546875" style="191" customWidth="1"/>
    <col min="9997" max="9997" width="11.28515625" style="191" customWidth="1"/>
    <col min="9998" max="9998" width="0" style="191" hidden="1" customWidth="1"/>
    <col min="9999" max="9999" width="12.140625" style="191" customWidth="1"/>
    <col min="10000" max="10000" width="11.7109375" style="191" customWidth="1"/>
    <col min="10001" max="10001" width="12" style="191" customWidth="1"/>
    <col min="10002" max="10002" width="19.140625" style="191" customWidth="1"/>
    <col min="10003" max="10003" width="16.140625" style="191" bestFit="1" customWidth="1"/>
    <col min="10004" max="10004" width="28.140625" style="191" customWidth="1"/>
    <col min="10005" max="10005" width="10.28515625" style="191" bestFit="1" customWidth="1"/>
    <col min="10006" max="10006" width="5.85546875" style="191" customWidth="1"/>
    <col min="10007" max="10007" width="39.5703125" style="191" bestFit="1" customWidth="1"/>
    <col min="10008" max="10008" width="17.42578125" style="191" bestFit="1" customWidth="1"/>
    <col min="10009" max="10009" width="13" style="191" bestFit="1" customWidth="1"/>
    <col min="10010" max="10010" width="24.5703125" style="191" bestFit="1" customWidth="1"/>
    <col min="10011" max="10011" width="37.42578125" style="191" bestFit="1" customWidth="1"/>
    <col min="10012" max="10012" width="30.7109375" style="191" bestFit="1" customWidth="1"/>
    <col min="10013" max="10013" width="21.28515625" style="191" bestFit="1" customWidth="1"/>
    <col min="10014" max="10014" width="25.5703125" style="191" bestFit="1" customWidth="1"/>
    <col min="10015" max="10015" width="30" style="191" bestFit="1" customWidth="1"/>
    <col min="10016" max="10016" width="31.28515625" style="191" bestFit="1" customWidth="1"/>
    <col min="10017" max="10017" width="21.7109375" style="191" bestFit="1" customWidth="1"/>
    <col min="10018" max="10019" width="21.28515625" style="191" bestFit="1" customWidth="1"/>
    <col min="10020" max="10020" width="20.140625" style="191" bestFit="1" customWidth="1"/>
    <col min="10021" max="10240" width="9.140625" style="191"/>
    <col min="10241" max="10241" width="1.85546875" style="191" customWidth="1"/>
    <col min="10242" max="10242" width="6.140625" style="191" customWidth="1"/>
    <col min="10243" max="10243" width="29.7109375" style="191" customWidth="1"/>
    <col min="10244" max="10244" width="11.5703125" style="191" customWidth="1"/>
    <col min="10245" max="10245" width="11.28515625" style="191" customWidth="1"/>
    <col min="10246" max="10246" width="11.7109375" style="191" customWidth="1"/>
    <col min="10247" max="10247" width="0" style="191" hidden="1" customWidth="1"/>
    <col min="10248" max="10248" width="11.7109375" style="191" customWidth="1"/>
    <col min="10249" max="10250" width="12.42578125" style="191" customWidth="1"/>
    <col min="10251" max="10251" width="12.7109375" style="191" customWidth="1"/>
    <col min="10252" max="10252" width="12.85546875" style="191" customWidth="1"/>
    <col min="10253" max="10253" width="11.28515625" style="191" customWidth="1"/>
    <col min="10254" max="10254" width="0" style="191" hidden="1" customWidth="1"/>
    <col min="10255" max="10255" width="12.140625" style="191" customWidth="1"/>
    <col min="10256" max="10256" width="11.7109375" style="191" customWidth="1"/>
    <col min="10257" max="10257" width="12" style="191" customWidth="1"/>
    <col min="10258" max="10258" width="19.140625" style="191" customWidth="1"/>
    <col min="10259" max="10259" width="16.140625" style="191" bestFit="1" customWidth="1"/>
    <col min="10260" max="10260" width="28.140625" style="191" customWidth="1"/>
    <col min="10261" max="10261" width="10.28515625" style="191" bestFit="1" customWidth="1"/>
    <col min="10262" max="10262" width="5.85546875" style="191" customWidth="1"/>
    <col min="10263" max="10263" width="39.5703125" style="191" bestFit="1" customWidth="1"/>
    <col min="10264" max="10264" width="17.42578125" style="191" bestFit="1" customWidth="1"/>
    <col min="10265" max="10265" width="13" style="191" bestFit="1" customWidth="1"/>
    <col min="10266" max="10266" width="24.5703125" style="191" bestFit="1" customWidth="1"/>
    <col min="10267" max="10267" width="37.42578125" style="191" bestFit="1" customWidth="1"/>
    <col min="10268" max="10268" width="30.7109375" style="191" bestFit="1" customWidth="1"/>
    <col min="10269" max="10269" width="21.28515625" style="191" bestFit="1" customWidth="1"/>
    <col min="10270" max="10270" width="25.5703125" style="191" bestFit="1" customWidth="1"/>
    <col min="10271" max="10271" width="30" style="191" bestFit="1" customWidth="1"/>
    <col min="10272" max="10272" width="31.28515625" style="191" bestFit="1" customWidth="1"/>
    <col min="10273" max="10273" width="21.7109375" style="191" bestFit="1" customWidth="1"/>
    <col min="10274" max="10275" width="21.28515625" style="191" bestFit="1" customWidth="1"/>
    <col min="10276" max="10276" width="20.140625" style="191" bestFit="1" customWidth="1"/>
    <col min="10277" max="10496" width="9.140625" style="191"/>
    <col min="10497" max="10497" width="1.85546875" style="191" customWidth="1"/>
    <col min="10498" max="10498" width="6.140625" style="191" customWidth="1"/>
    <col min="10499" max="10499" width="29.7109375" style="191" customWidth="1"/>
    <col min="10500" max="10500" width="11.5703125" style="191" customWidth="1"/>
    <col min="10501" max="10501" width="11.28515625" style="191" customWidth="1"/>
    <col min="10502" max="10502" width="11.7109375" style="191" customWidth="1"/>
    <col min="10503" max="10503" width="0" style="191" hidden="1" customWidth="1"/>
    <col min="10504" max="10504" width="11.7109375" style="191" customWidth="1"/>
    <col min="10505" max="10506" width="12.42578125" style="191" customWidth="1"/>
    <col min="10507" max="10507" width="12.7109375" style="191" customWidth="1"/>
    <col min="10508" max="10508" width="12.85546875" style="191" customWidth="1"/>
    <col min="10509" max="10509" width="11.28515625" style="191" customWidth="1"/>
    <col min="10510" max="10510" width="0" style="191" hidden="1" customWidth="1"/>
    <col min="10511" max="10511" width="12.140625" style="191" customWidth="1"/>
    <col min="10512" max="10512" width="11.7109375" style="191" customWidth="1"/>
    <col min="10513" max="10513" width="12" style="191" customWidth="1"/>
    <col min="10514" max="10514" width="19.140625" style="191" customWidth="1"/>
    <col min="10515" max="10515" width="16.140625" style="191" bestFit="1" customWidth="1"/>
    <col min="10516" max="10516" width="28.140625" style="191" customWidth="1"/>
    <col min="10517" max="10517" width="10.28515625" style="191" bestFit="1" customWidth="1"/>
    <col min="10518" max="10518" width="5.85546875" style="191" customWidth="1"/>
    <col min="10519" max="10519" width="39.5703125" style="191" bestFit="1" customWidth="1"/>
    <col min="10520" max="10520" width="17.42578125" style="191" bestFit="1" customWidth="1"/>
    <col min="10521" max="10521" width="13" style="191" bestFit="1" customWidth="1"/>
    <col min="10522" max="10522" width="24.5703125" style="191" bestFit="1" customWidth="1"/>
    <col min="10523" max="10523" width="37.42578125" style="191" bestFit="1" customWidth="1"/>
    <col min="10524" max="10524" width="30.7109375" style="191" bestFit="1" customWidth="1"/>
    <col min="10525" max="10525" width="21.28515625" style="191" bestFit="1" customWidth="1"/>
    <col min="10526" max="10526" width="25.5703125" style="191" bestFit="1" customWidth="1"/>
    <col min="10527" max="10527" width="30" style="191" bestFit="1" customWidth="1"/>
    <col min="10528" max="10528" width="31.28515625" style="191" bestFit="1" customWidth="1"/>
    <col min="10529" max="10529" width="21.7109375" style="191" bestFit="1" customWidth="1"/>
    <col min="10530" max="10531" width="21.28515625" style="191" bestFit="1" customWidth="1"/>
    <col min="10532" max="10532" width="20.140625" style="191" bestFit="1" customWidth="1"/>
    <col min="10533" max="10752" width="9.140625" style="191"/>
    <col min="10753" max="10753" width="1.85546875" style="191" customWidth="1"/>
    <col min="10754" max="10754" width="6.140625" style="191" customWidth="1"/>
    <col min="10755" max="10755" width="29.7109375" style="191" customWidth="1"/>
    <col min="10756" max="10756" width="11.5703125" style="191" customWidth="1"/>
    <col min="10757" max="10757" width="11.28515625" style="191" customWidth="1"/>
    <col min="10758" max="10758" width="11.7109375" style="191" customWidth="1"/>
    <col min="10759" max="10759" width="0" style="191" hidden="1" customWidth="1"/>
    <col min="10760" max="10760" width="11.7109375" style="191" customWidth="1"/>
    <col min="10761" max="10762" width="12.42578125" style="191" customWidth="1"/>
    <col min="10763" max="10763" width="12.7109375" style="191" customWidth="1"/>
    <col min="10764" max="10764" width="12.85546875" style="191" customWidth="1"/>
    <col min="10765" max="10765" width="11.28515625" style="191" customWidth="1"/>
    <col min="10766" max="10766" width="0" style="191" hidden="1" customWidth="1"/>
    <col min="10767" max="10767" width="12.140625" style="191" customWidth="1"/>
    <col min="10768" max="10768" width="11.7109375" style="191" customWidth="1"/>
    <col min="10769" max="10769" width="12" style="191" customWidth="1"/>
    <col min="10770" max="10770" width="19.140625" style="191" customWidth="1"/>
    <col min="10771" max="10771" width="16.140625" style="191" bestFit="1" customWidth="1"/>
    <col min="10772" max="10772" width="28.140625" style="191" customWidth="1"/>
    <col min="10773" max="10773" width="10.28515625" style="191" bestFit="1" customWidth="1"/>
    <col min="10774" max="10774" width="5.85546875" style="191" customWidth="1"/>
    <col min="10775" max="10775" width="39.5703125" style="191" bestFit="1" customWidth="1"/>
    <col min="10776" max="10776" width="17.42578125" style="191" bestFit="1" customWidth="1"/>
    <col min="10777" max="10777" width="13" style="191" bestFit="1" customWidth="1"/>
    <col min="10778" max="10778" width="24.5703125" style="191" bestFit="1" customWidth="1"/>
    <col min="10779" max="10779" width="37.42578125" style="191" bestFit="1" customWidth="1"/>
    <col min="10780" max="10780" width="30.7109375" style="191" bestFit="1" customWidth="1"/>
    <col min="10781" max="10781" width="21.28515625" style="191" bestFit="1" customWidth="1"/>
    <col min="10782" max="10782" width="25.5703125" style="191" bestFit="1" customWidth="1"/>
    <col min="10783" max="10783" width="30" style="191" bestFit="1" customWidth="1"/>
    <col min="10784" max="10784" width="31.28515625" style="191" bestFit="1" customWidth="1"/>
    <col min="10785" max="10785" width="21.7109375" style="191" bestFit="1" customWidth="1"/>
    <col min="10786" max="10787" width="21.28515625" style="191" bestFit="1" customWidth="1"/>
    <col min="10788" max="10788" width="20.140625" style="191" bestFit="1" customWidth="1"/>
    <col min="10789" max="11008" width="9.140625" style="191"/>
    <col min="11009" max="11009" width="1.85546875" style="191" customWidth="1"/>
    <col min="11010" max="11010" width="6.140625" style="191" customWidth="1"/>
    <col min="11011" max="11011" width="29.7109375" style="191" customWidth="1"/>
    <col min="11012" max="11012" width="11.5703125" style="191" customWidth="1"/>
    <col min="11013" max="11013" width="11.28515625" style="191" customWidth="1"/>
    <col min="11014" max="11014" width="11.7109375" style="191" customWidth="1"/>
    <col min="11015" max="11015" width="0" style="191" hidden="1" customWidth="1"/>
    <col min="11016" max="11016" width="11.7109375" style="191" customWidth="1"/>
    <col min="11017" max="11018" width="12.42578125" style="191" customWidth="1"/>
    <col min="11019" max="11019" width="12.7109375" style="191" customWidth="1"/>
    <col min="11020" max="11020" width="12.85546875" style="191" customWidth="1"/>
    <col min="11021" max="11021" width="11.28515625" style="191" customWidth="1"/>
    <col min="11022" max="11022" width="0" style="191" hidden="1" customWidth="1"/>
    <col min="11023" max="11023" width="12.140625" style="191" customWidth="1"/>
    <col min="11024" max="11024" width="11.7109375" style="191" customWidth="1"/>
    <col min="11025" max="11025" width="12" style="191" customWidth="1"/>
    <col min="11026" max="11026" width="19.140625" style="191" customWidth="1"/>
    <col min="11027" max="11027" width="16.140625" style="191" bestFit="1" customWidth="1"/>
    <col min="11028" max="11028" width="28.140625" style="191" customWidth="1"/>
    <col min="11029" max="11029" width="10.28515625" style="191" bestFit="1" customWidth="1"/>
    <col min="11030" max="11030" width="5.85546875" style="191" customWidth="1"/>
    <col min="11031" max="11031" width="39.5703125" style="191" bestFit="1" customWidth="1"/>
    <col min="11032" max="11032" width="17.42578125" style="191" bestFit="1" customWidth="1"/>
    <col min="11033" max="11033" width="13" style="191" bestFit="1" customWidth="1"/>
    <col min="11034" max="11034" width="24.5703125" style="191" bestFit="1" customWidth="1"/>
    <col min="11035" max="11035" width="37.42578125" style="191" bestFit="1" customWidth="1"/>
    <col min="11036" max="11036" width="30.7109375" style="191" bestFit="1" customWidth="1"/>
    <col min="11037" max="11037" width="21.28515625" style="191" bestFit="1" customWidth="1"/>
    <col min="11038" max="11038" width="25.5703125" style="191" bestFit="1" customWidth="1"/>
    <col min="11039" max="11039" width="30" style="191" bestFit="1" customWidth="1"/>
    <col min="11040" max="11040" width="31.28515625" style="191" bestFit="1" customWidth="1"/>
    <col min="11041" max="11041" width="21.7109375" style="191" bestFit="1" customWidth="1"/>
    <col min="11042" max="11043" width="21.28515625" style="191" bestFit="1" customWidth="1"/>
    <col min="11044" max="11044" width="20.140625" style="191" bestFit="1" customWidth="1"/>
    <col min="11045" max="11264" width="9.140625" style="191"/>
    <col min="11265" max="11265" width="1.85546875" style="191" customWidth="1"/>
    <col min="11266" max="11266" width="6.140625" style="191" customWidth="1"/>
    <col min="11267" max="11267" width="29.7109375" style="191" customWidth="1"/>
    <col min="11268" max="11268" width="11.5703125" style="191" customWidth="1"/>
    <col min="11269" max="11269" width="11.28515625" style="191" customWidth="1"/>
    <col min="11270" max="11270" width="11.7109375" style="191" customWidth="1"/>
    <col min="11271" max="11271" width="0" style="191" hidden="1" customWidth="1"/>
    <col min="11272" max="11272" width="11.7109375" style="191" customWidth="1"/>
    <col min="11273" max="11274" width="12.42578125" style="191" customWidth="1"/>
    <col min="11275" max="11275" width="12.7109375" style="191" customWidth="1"/>
    <col min="11276" max="11276" width="12.85546875" style="191" customWidth="1"/>
    <col min="11277" max="11277" width="11.28515625" style="191" customWidth="1"/>
    <col min="11278" max="11278" width="0" style="191" hidden="1" customWidth="1"/>
    <col min="11279" max="11279" width="12.140625" style="191" customWidth="1"/>
    <col min="11280" max="11280" width="11.7109375" style="191" customWidth="1"/>
    <col min="11281" max="11281" width="12" style="191" customWidth="1"/>
    <col min="11282" max="11282" width="19.140625" style="191" customWidth="1"/>
    <col min="11283" max="11283" width="16.140625" style="191" bestFit="1" customWidth="1"/>
    <col min="11284" max="11284" width="28.140625" style="191" customWidth="1"/>
    <col min="11285" max="11285" width="10.28515625" style="191" bestFit="1" customWidth="1"/>
    <col min="11286" max="11286" width="5.85546875" style="191" customWidth="1"/>
    <col min="11287" max="11287" width="39.5703125" style="191" bestFit="1" customWidth="1"/>
    <col min="11288" max="11288" width="17.42578125" style="191" bestFit="1" customWidth="1"/>
    <col min="11289" max="11289" width="13" style="191" bestFit="1" customWidth="1"/>
    <col min="11290" max="11290" width="24.5703125" style="191" bestFit="1" customWidth="1"/>
    <col min="11291" max="11291" width="37.42578125" style="191" bestFit="1" customWidth="1"/>
    <col min="11292" max="11292" width="30.7109375" style="191" bestFit="1" customWidth="1"/>
    <col min="11293" max="11293" width="21.28515625" style="191" bestFit="1" customWidth="1"/>
    <col min="11294" max="11294" width="25.5703125" style="191" bestFit="1" customWidth="1"/>
    <col min="11295" max="11295" width="30" style="191" bestFit="1" customWidth="1"/>
    <col min="11296" max="11296" width="31.28515625" style="191" bestFit="1" customWidth="1"/>
    <col min="11297" max="11297" width="21.7109375" style="191" bestFit="1" customWidth="1"/>
    <col min="11298" max="11299" width="21.28515625" style="191" bestFit="1" customWidth="1"/>
    <col min="11300" max="11300" width="20.140625" style="191" bestFit="1" customWidth="1"/>
    <col min="11301" max="11520" width="9.140625" style="191"/>
    <col min="11521" max="11521" width="1.85546875" style="191" customWidth="1"/>
    <col min="11522" max="11522" width="6.140625" style="191" customWidth="1"/>
    <col min="11523" max="11523" width="29.7109375" style="191" customWidth="1"/>
    <col min="11524" max="11524" width="11.5703125" style="191" customWidth="1"/>
    <col min="11525" max="11525" width="11.28515625" style="191" customWidth="1"/>
    <col min="11526" max="11526" width="11.7109375" style="191" customWidth="1"/>
    <col min="11527" max="11527" width="0" style="191" hidden="1" customWidth="1"/>
    <col min="11528" max="11528" width="11.7109375" style="191" customWidth="1"/>
    <col min="11529" max="11530" width="12.42578125" style="191" customWidth="1"/>
    <col min="11531" max="11531" width="12.7109375" style="191" customWidth="1"/>
    <col min="11532" max="11532" width="12.85546875" style="191" customWidth="1"/>
    <col min="11533" max="11533" width="11.28515625" style="191" customWidth="1"/>
    <col min="11534" max="11534" width="0" style="191" hidden="1" customWidth="1"/>
    <col min="11535" max="11535" width="12.140625" style="191" customWidth="1"/>
    <col min="11536" max="11536" width="11.7109375" style="191" customWidth="1"/>
    <col min="11537" max="11537" width="12" style="191" customWidth="1"/>
    <col min="11538" max="11538" width="19.140625" style="191" customWidth="1"/>
    <col min="11539" max="11539" width="16.140625" style="191" bestFit="1" customWidth="1"/>
    <col min="11540" max="11540" width="28.140625" style="191" customWidth="1"/>
    <col min="11541" max="11541" width="10.28515625" style="191" bestFit="1" customWidth="1"/>
    <col min="11542" max="11542" width="5.85546875" style="191" customWidth="1"/>
    <col min="11543" max="11543" width="39.5703125" style="191" bestFit="1" customWidth="1"/>
    <col min="11544" max="11544" width="17.42578125" style="191" bestFit="1" customWidth="1"/>
    <col min="11545" max="11545" width="13" style="191" bestFit="1" customWidth="1"/>
    <col min="11546" max="11546" width="24.5703125" style="191" bestFit="1" customWidth="1"/>
    <col min="11547" max="11547" width="37.42578125" style="191" bestFit="1" customWidth="1"/>
    <col min="11548" max="11548" width="30.7109375" style="191" bestFit="1" customWidth="1"/>
    <col min="11549" max="11549" width="21.28515625" style="191" bestFit="1" customWidth="1"/>
    <col min="11550" max="11550" width="25.5703125" style="191" bestFit="1" customWidth="1"/>
    <col min="11551" max="11551" width="30" style="191" bestFit="1" customWidth="1"/>
    <col min="11552" max="11552" width="31.28515625" style="191" bestFit="1" customWidth="1"/>
    <col min="11553" max="11553" width="21.7109375" style="191" bestFit="1" customWidth="1"/>
    <col min="11554" max="11555" width="21.28515625" style="191" bestFit="1" customWidth="1"/>
    <col min="11556" max="11556" width="20.140625" style="191" bestFit="1" customWidth="1"/>
    <col min="11557" max="11776" width="9.140625" style="191"/>
    <col min="11777" max="11777" width="1.85546875" style="191" customWidth="1"/>
    <col min="11778" max="11778" width="6.140625" style="191" customWidth="1"/>
    <col min="11779" max="11779" width="29.7109375" style="191" customWidth="1"/>
    <col min="11780" max="11780" width="11.5703125" style="191" customWidth="1"/>
    <col min="11781" max="11781" width="11.28515625" style="191" customWidth="1"/>
    <col min="11782" max="11782" width="11.7109375" style="191" customWidth="1"/>
    <col min="11783" max="11783" width="0" style="191" hidden="1" customWidth="1"/>
    <col min="11784" max="11784" width="11.7109375" style="191" customWidth="1"/>
    <col min="11785" max="11786" width="12.42578125" style="191" customWidth="1"/>
    <col min="11787" max="11787" width="12.7109375" style="191" customWidth="1"/>
    <col min="11788" max="11788" width="12.85546875" style="191" customWidth="1"/>
    <col min="11789" max="11789" width="11.28515625" style="191" customWidth="1"/>
    <col min="11790" max="11790" width="0" style="191" hidden="1" customWidth="1"/>
    <col min="11791" max="11791" width="12.140625" style="191" customWidth="1"/>
    <col min="11792" max="11792" width="11.7109375" style="191" customWidth="1"/>
    <col min="11793" max="11793" width="12" style="191" customWidth="1"/>
    <col min="11794" max="11794" width="19.140625" style="191" customWidth="1"/>
    <col min="11795" max="11795" width="16.140625" style="191" bestFit="1" customWidth="1"/>
    <col min="11796" max="11796" width="28.140625" style="191" customWidth="1"/>
    <col min="11797" max="11797" width="10.28515625" style="191" bestFit="1" customWidth="1"/>
    <col min="11798" max="11798" width="5.85546875" style="191" customWidth="1"/>
    <col min="11799" max="11799" width="39.5703125" style="191" bestFit="1" customWidth="1"/>
    <col min="11800" max="11800" width="17.42578125" style="191" bestFit="1" customWidth="1"/>
    <col min="11801" max="11801" width="13" style="191" bestFit="1" customWidth="1"/>
    <col min="11802" max="11802" width="24.5703125" style="191" bestFit="1" customWidth="1"/>
    <col min="11803" max="11803" width="37.42578125" style="191" bestFit="1" customWidth="1"/>
    <col min="11804" max="11804" width="30.7109375" style="191" bestFit="1" customWidth="1"/>
    <col min="11805" max="11805" width="21.28515625" style="191" bestFit="1" customWidth="1"/>
    <col min="11806" max="11806" width="25.5703125" style="191" bestFit="1" customWidth="1"/>
    <col min="11807" max="11807" width="30" style="191" bestFit="1" customWidth="1"/>
    <col min="11808" max="11808" width="31.28515625" style="191" bestFit="1" customWidth="1"/>
    <col min="11809" max="11809" width="21.7109375" style="191" bestFit="1" customWidth="1"/>
    <col min="11810" max="11811" width="21.28515625" style="191" bestFit="1" customWidth="1"/>
    <col min="11812" max="11812" width="20.140625" style="191" bestFit="1" customWidth="1"/>
    <col min="11813" max="12032" width="9.140625" style="191"/>
    <col min="12033" max="12033" width="1.85546875" style="191" customWidth="1"/>
    <col min="12034" max="12034" width="6.140625" style="191" customWidth="1"/>
    <col min="12035" max="12035" width="29.7109375" style="191" customWidth="1"/>
    <col min="12036" max="12036" width="11.5703125" style="191" customWidth="1"/>
    <col min="12037" max="12037" width="11.28515625" style="191" customWidth="1"/>
    <col min="12038" max="12038" width="11.7109375" style="191" customWidth="1"/>
    <col min="12039" max="12039" width="0" style="191" hidden="1" customWidth="1"/>
    <col min="12040" max="12040" width="11.7109375" style="191" customWidth="1"/>
    <col min="12041" max="12042" width="12.42578125" style="191" customWidth="1"/>
    <col min="12043" max="12043" width="12.7109375" style="191" customWidth="1"/>
    <col min="12044" max="12044" width="12.85546875" style="191" customWidth="1"/>
    <col min="12045" max="12045" width="11.28515625" style="191" customWidth="1"/>
    <col min="12046" max="12046" width="0" style="191" hidden="1" customWidth="1"/>
    <col min="12047" max="12047" width="12.140625" style="191" customWidth="1"/>
    <col min="12048" max="12048" width="11.7109375" style="191" customWidth="1"/>
    <col min="12049" max="12049" width="12" style="191" customWidth="1"/>
    <col min="12050" max="12050" width="19.140625" style="191" customWidth="1"/>
    <col min="12051" max="12051" width="16.140625" style="191" bestFit="1" customWidth="1"/>
    <col min="12052" max="12052" width="28.140625" style="191" customWidth="1"/>
    <col min="12053" max="12053" width="10.28515625" style="191" bestFit="1" customWidth="1"/>
    <col min="12054" max="12054" width="5.85546875" style="191" customWidth="1"/>
    <col min="12055" max="12055" width="39.5703125" style="191" bestFit="1" customWidth="1"/>
    <col min="12056" max="12056" width="17.42578125" style="191" bestFit="1" customWidth="1"/>
    <col min="12057" max="12057" width="13" style="191" bestFit="1" customWidth="1"/>
    <col min="12058" max="12058" width="24.5703125" style="191" bestFit="1" customWidth="1"/>
    <col min="12059" max="12059" width="37.42578125" style="191" bestFit="1" customWidth="1"/>
    <col min="12060" max="12060" width="30.7109375" style="191" bestFit="1" customWidth="1"/>
    <col min="12061" max="12061" width="21.28515625" style="191" bestFit="1" customWidth="1"/>
    <col min="12062" max="12062" width="25.5703125" style="191" bestFit="1" customWidth="1"/>
    <col min="12063" max="12063" width="30" style="191" bestFit="1" customWidth="1"/>
    <col min="12064" max="12064" width="31.28515625" style="191" bestFit="1" customWidth="1"/>
    <col min="12065" max="12065" width="21.7109375" style="191" bestFit="1" customWidth="1"/>
    <col min="12066" max="12067" width="21.28515625" style="191" bestFit="1" customWidth="1"/>
    <col min="12068" max="12068" width="20.140625" style="191" bestFit="1" customWidth="1"/>
    <col min="12069" max="12288" width="9.140625" style="191"/>
    <col min="12289" max="12289" width="1.85546875" style="191" customWidth="1"/>
    <col min="12290" max="12290" width="6.140625" style="191" customWidth="1"/>
    <col min="12291" max="12291" width="29.7109375" style="191" customWidth="1"/>
    <col min="12292" max="12292" width="11.5703125" style="191" customWidth="1"/>
    <col min="12293" max="12293" width="11.28515625" style="191" customWidth="1"/>
    <col min="12294" max="12294" width="11.7109375" style="191" customWidth="1"/>
    <col min="12295" max="12295" width="0" style="191" hidden="1" customWidth="1"/>
    <col min="12296" max="12296" width="11.7109375" style="191" customWidth="1"/>
    <col min="12297" max="12298" width="12.42578125" style="191" customWidth="1"/>
    <col min="12299" max="12299" width="12.7109375" style="191" customWidth="1"/>
    <col min="12300" max="12300" width="12.85546875" style="191" customWidth="1"/>
    <col min="12301" max="12301" width="11.28515625" style="191" customWidth="1"/>
    <col min="12302" max="12302" width="0" style="191" hidden="1" customWidth="1"/>
    <col min="12303" max="12303" width="12.140625" style="191" customWidth="1"/>
    <col min="12304" max="12304" width="11.7109375" style="191" customWidth="1"/>
    <col min="12305" max="12305" width="12" style="191" customWidth="1"/>
    <col min="12306" max="12306" width="19.140625" style="191" customWidth="1"/>
    <col min="12307" max="12307" width="16.140625" style="191" bestFit="1" customWidth="1"/>
    <col min="12308" max="12308" width="28.140625" style="191" customWidth="1"/>
    <col min="12309" max="12309" width="10.28515625" style="191" bestFit="1" customWidth="1"/>
    <col min="12310" max="12310" width="5.85546875" style="191" customWidth="1"/>
    <col min="12311" max="12311" width="39.5703125" style="191" bestFit="1" customWidth="1"/>
    <col min="12312" max="12312" width="17.42578125" style="191" bestFit="1" customWidth="1"/>
    <col min="12313" max="12313" width="13" style="191" bestFit="1" customWidth="1"/>
    <col min="12314" max="12314" width="24.5703125" style="191" bestFit="1" customWidth="1"/>
    <col min="12315" max="12315" width="37.42578125" style="191" bestFit="1" customWidth="1"/>
    <col min="12316" max="12316" width="30.7109375" style="191" bestFit="1" customWidth="1"/>
    <col min="12317" max="12317" width="21.28515625" style="191" bestFit="1" customWidth="1"/>
    <col min="12318" max="12318" width="25.5703125" style="191" bestFit="1" customWidth="1"/>
    <col min="12319" max="12319" width="30" style="191" bestFit="1" customWidth="1"/>
    <col min="12320" max="12320" width="31.28515625" style="191" bestFit="1" customWidth="1"/>
    <col min="12321" max="12321" width="21.7109375" style="191" bestFit="1" customWidth="1"/>
    <col min="12322" max="12323" width="21.28515625" style="191" bestFit="1" customWidth="1"/>
    <col min="12324" max="12324" width="20.140625" style="191" bestFit="1" customWidth="1"/>
    <col min="12325" max="12544" width="9.140625" style="191"/>
    <col min="12545" max="12545" width="1.85546875" style="191" customWidth="1"/>
    <col min="12546" max="12546" width="6.140625" style="191" customWidth="1"/>
    <col min="12547" max="12547" width="29.7109375" style="191" customWidth="1"/>
    <col min="12548" max="12548" width="11.5703125" style="191" customWidth="1"/>
    <col min="12549" max="12549" width="11.28515625" style="191" customWidth="1"/>
    <col min="12550" max="12550" width="11.7109375" style="191" customWidth="1"/>
    <col min="12551" max="12551" width="0" style="191" hidden="1" customWidth="1"/>
    <col min="12552" max="12552" width="11.7109375" style="191" customWidth="1"/>
    <col min="12553" max="12554" width="12.42578125" style="191" customWidth="1"/>
    <col min="12555" max="12555" width="12.7109375" style="191" customWidth="1"/>
    <col min="12556" max="12556" width="12.85546875" style="191" customWidth="1"/>
    <col min="12557" max="12557" width="11.28515625" style="191" customWidth="1"/>
    <col min="12558" max="12558" width="0" style="191" hidden="1" customWidth="1"/>
    <col min="12559" max="12559" width="12.140625" style="191" customWidth="1"/>
    <col min="12560" max="12560" width="11.7109375" style="191" customWidth="1"/>
    <col min="12561" max="12561" width="12" style="191" customWidth="1"/>
    <col min="12562" max="12562" width="19.140625" style="191" customWidth="1"/>
    <col min="12563" max="12563" width="16.140625" style="191" bestFit="1" customWidth="1"/>
    <col min="12564" max="12564" width="28.140625" style="191" customWidth="1"/>
    <col min="12565" max="12565" width="10.28515625" style="191" bestFit="1" customWidth="1"/>
    <col min="12566" max="12566" width="5.85546875" style="191" customWidth="1"/>
    <col min="12567" max="12567" width="39.5703125" style="191" bestFit="1" customWidth="1"/>
    <col min="12568" max="12568" width="17.42578125" style="191" bestFit="1" customWidth="1"/>
    <col min="12569" max="12569" width="13" style="191" bestFit="1" customWidth="1"/>
    <col min="12570" max="12570" width="24.5703125" style="191" bestFit="1" customWidth="1"/>
    <col min="12571" max="12571" width="37.42578125" style="191" bestFit="1" customWidth="1"/>
    <col min="12572" max="12572" width="30.7109375" style="191" bestFit="1" customWidth="1"/>
    <col min="12573" max="12573" width="21.28515625" style="191" bestFit="1" customWidth="1"/>
    <col min="12574" max="12574" width="25.5703125" style="191" bestFit="1" customWidth="1"/>
    <col min="12575" max="12575" width="30" style="191" bestFit="1" customWidth="1"/>
    <col min="12576" max="12576" width="31.28515625" style="191" bestFit="1" customWidth="1"/>
    <col min="12577" max="12577" width="21.7109375" style="191" bestFit="1" customWidth="1"/>
    <col min="12578" max="12579" width="21.28515625" style="191" bestFit="1" customWidth="1"/>
    <col min="12580" max="12580" width="20.140625" style="191" bestFit="1" customWidth="1"/>
    <col min="12581" max="12800" width="9.140625" style="191"/>
    <col min="12801" max="12801" width="1.85546875" style="191" customWidth="1"/>
    <col min="12802" max="12802" width="6.140625" style="191" customWidth="1"/>
    <col min="12803" max="12803" width="29.7109375" style="191" customWidth="1"/>
    <col min="12804" max="12804" width="11.5703125" style="191" customWidth="1"/>
    <col min="12805" max="12805" width="11.28515625" style="191" customWidth="1"/>
    <col min="12806" max="12806" width="11.7109375" style="191" customWidth="1"/>
    <col min="12807" max="12807" width="0" style="191" hidden="1" customWidth="1"/>
    <col min="12808" max="12808" width="11.7109375" style="191" customWidth="1"/>
    <col min="12809" max="12810" width="12.42578125" style="191" customWidth="1"/>
    <col min="12811" max="12811" width="12.7109375" style="191" customWidth="1"/>
    <col min="12812" max="12812" width="12.85546875" style="191" customWidth="1"/>
    <col min="12813" max="12813" width="11.28515625" style="191" customWidth="1"/>
    <col min="12814" max="12814" width="0" style="191" hidden="1" customWidth="1"/>
    <col min="12815" max="12815" width="12.140625" style="191" customWidth="1"/>
    <col min="12816" max="12816" width="11.7109375" style="191" customWidth="1"/>
    <col min="12817" max="12817" width="12" style="191" customWidth="1"/>
    <col min="12818" max="12818" width="19.140625" style="191" customWidth="1"/>
    <col min="12819" max="12819" width="16.140625" style="191" bestFit="1" customWidth="1"/>
    <col min="12820" max="12820" width="28.140625" style="191" customWidth="1"/>
    <col min="12821" max="12821" width="10.28515625" style="191" bestFit="1" customWidth="1"/>
    <col min="12822" max="12822" width="5.85546875" style="191" customWidth="1"/>
    <col min="12823" max="12823" width="39.5703125" style="191" bestFit="1" customWidth="1"/>
    <col min="12824" max="12824" width="17.42578125" style="191" bestFit="1" customWidth="1"/>
    <col min="12825" max="12825" width="13" style="191" bestFit="1" customWidth="1"/>
    <col min="12826" max="12826" width="24.5703125" style="191" bestFit="1" customWidth="1"/>
    <col min="12827" max="12827" width="37.42578125" style="191" bestFit="1" customWidth="1"/>
    <col min="12828" max="12828" width="30.7109375" style="191" bestFit="1" customWidth="1"/>
    <col min="12829" max="12829" width="21.28515625" style="191" bestFit="1" customWidth="1"/>
    <col min="12830" max="12830" width="25.5703125" style="191" bestFit="1" customWidth="1"/>
    <col min="12831" max="12831" width="30" style="191" bestFit="1" customWidth="1"/>
    <col min="12832" max="12832" width="31.28515625" style="191" bestFit="1" customWidth="1"/>
    <col min="12833" max="12833" width="21.7109375" style="191" bestFit="1" customWidth="1"/>
    <col min="12834" max="12835" width="21.28515625" style="191" bestFit="1" customWidth="1"/>
    <col min="12836" max="12836" width="20.140625" style="191" bestFit="1" customWidth="1"/>
    <col min="12837" max="13056" width="9.140625" style="191"/>
    <col min="13057" max="13057" width="1.85546875" style="191" customWidth="1"/>
    <col min="13058" max="13058" width="6.140625" style="191" customWidth="1"/>
    <col min="13059" max="13059" width="29.7109375" style="191" customWidth="1"/>
    <col min="13060" max="13060" width="11.5703125" style="191" customWidth="1"/>
    <col min="13061" max="13061" width="11.28515625" style="191" customWidth="1"/>
    <col min="13062" max="13062" width="11.7109375" style="191" customWidth="1"/>
    <col min="13063" max="13063" width="0" style="191" hidden="1" customWidth="1"/>
    <col min="13064" max="13064" width="11.7109375" style="191" customWidth="1"/>
    <col min="13065" max="13066" width="12.42578125" style="191" customWidth="1"/>
    <col min="13067" max="13067" width="12.7109375" style="191" customWidth="1"/>
    <col min="13068" max="13068" width="12.85546875" style="191" customWidth="1"/>
    <col min="13069" max="13069" width="11.28515625" style="191" customWidth="1"/>
    <col min="13070" max="13070" width="0" style="191" hidden="1" customWidth="1"/>
    <col min="13071" max="13071" width="12.140625" style="191" customWidth="1"/>
    <col min="13072" max="13072" width="11.7109375" style="191" customWidth="1"/>
    <col min="13073" max="13073" width="12" style="191" customWidth="1"/>
    <col min="13074" max="13074" width="19.140625" style="191" customWidth="1"/>
    <col min="13075" max="13075" width="16.140625" style="191" bestFit="1" customWidth="1"/>
    <col min="13076" max="13076" width="28.140625" style="191" customWidth="1"/>
    <col min="13077" max="13077" width="10.28515625" style="191" bestFit="1" customWidth="1"/>
    <col min="13078" max="13078" width="5.85546875" style="191" customWidth="1"/>
    <col min="13079" max="13079" width="39.5703125" style="191" bestFit="1" customWidth="1"/>
    <col min="13080" max="13080" width="17.42578125" style="191" bestFit="1" customWidth="1"/>
    <col min="13081" max="13081" width="13" style="191" bestFit="1" customWidth="1"/>
    <col min="13082" max="13082" width="24.5703125" style="191" bestFit="1" customWidth="1"/>
    <col min="13083" max="13083" width="37.42578125" style="191" bestFit="1" customWidth="1"/>
    <col min="13084" max="13084" width="30.7109375" style="191" bestFit="1" customWidth="1"/>
    <col min="13085" max="13085" width="21.28515625" style="191" bestFit="1" customWidth="1"/>
    <col min="13086" max="13086" width="25.5703125" style="191" bestFit="1" customWidth="1"/>
    <col min="13087" max="13087" width="30" style="191" bestFit="1" customWidth="1"/>
    <col min="13088" max="13088" width="31.28515625" style="191" bestFit="1" customWidth="1"/>
    <col min="13089" max="13089" width="21.7109375" style="191" bestFit="1" customWidth="1"/>
    <col min="13090" max="13091" width="21.28515625" style="191" bestFit="1" customWidth="1"/>
    <col min="13092" max="13092" width="20.140625" style="191" bestFit="1" customWidth="1"/>
    <col min="13093" max="13312" width="9.140625" style="191"/>
    <col min="13313" max="13313" width="1.85546875" style="191" customWidth="1"/>
    <col min="13314" max="13314" width="6.140625" style="191" customWidth="1"/>
    <col min="13315" max="13315" width="29.7109375" style="191" customWidth="1"/>
    <col min="13316" max="13316" width="11.5703125" style="191" customWidth="1"/>
    <col min="13317" max="13317" width="11.28515625" style="191" customWidth="1"/>
    <col min="13318" max="13318" width="11.7109375" style="191" customWidth="1"/>
    <col min="13319" max="13319" width="0" style="191" hidden="1" customWidth="1"/>
    <col min="13320" max="13320" width="11.7109375" style="191" customWidth="1"/>
    <col min="13321" max="13322" width="12.42578125" style="191" customWidth="1"/>
    <col min="13323" max="13323" width="12.7109375" style="191" customWidth="1"/>
    <col min="13324" max="13324" width="12.85546875" style="191" customWidth="1"/>
    <col min="13325" max="13325" width="11.28515625" style="191" customWidth="1"/>
    <col min="13326" max="13326" width="0" style="191" hidden="1" customWidth="1"/>
    <col min="13327" max="13327" width="12.140625" style="191" customWidth="1"/>
    <col min="13328" max="13328" width="11.7109375" style="191" customWidth="1"/>
    <col min="13329" max="13329" width="12" style="191" customWidth="1"/>
    <col min="13330" max="13330" width="19.140625" style="191" customWidth="1"/>
    <col min="13331" max="13331" width="16.140625" style="191" bestFit="1" customWidth="1"/>
    <col min="13332" max="13332" width="28.140625" style="191" customWidth="1"/>
    <col min="13333" max="13333" width="10.28515625" style="191" bestFit="1" customWidth="1"/>
    <col min="13334" max="13334" width="5.85546875" style="191" customWidth="1"/>
    <col min="13335" max="13335" width="39.5703125" style="191" bestFit="1" customWidth="1"/>
    <col min="13336" max="13336" width="17.42578125" style="191" bestFit="1" customWidth="1"/>
    <col min="13337" max="13337" width="13" style="191" bestFit="1" customWidth="1"/>
    <col min="13338" max="13338" width="24.5703125" style="191" bestFit="1" customWidth="1"/>
    <col min="13339" max="13339" width="37.42578125" style="191" bestFit="1" customWidth="1"/>
    <col min="13340" max="13340" width="30.7109375" style="191" bestFit="1" customWidth="1"/>
    <col min="13341" max="13341" width="21.28515625" style="191" bestFit="1" customWidth="1"/>
    <col min="13342" max="13342" width="25.5703125" style="191" bestFit="1" customWidth="1"/>
    <col min="13343" max="13343" width="30" style="191" bestFit="1" customWidth="1"/>
    <col min="13344" max="13344" width="31.28515625" style="191" bestFit="1" customWidth="1"/>
    <col min="13345" max="13345" width="21.7109375" style="191" bestFit="1" customWidth="1"/>
    <col min="13346" max="13347" width="21.28515625" style="191" bestFit="1" customWidth="1"/>
    <col min="13348" max="13348" width="20.140625" style="191" bestFit="1" customWidth="1"/>
    <col min="13349" max="13568" width="9.140625" style="191"/>
    <col min="13569" max="13569" width="1.85546875" style="191" customWidth="1"/>
    <col min="13570" max="13570" width="6.140625" style="191" customWidth="1"/>
    <col min="13571" max="13571" width="29.7109375" style="191" customWidth="1"/>
    <col min="13572" max="13572" width="11.5703125" style="191" customWidth="1"/>
    <col min="13573" max="13573" width="11.28515625" style="191" customWidth="1"/>
    <col min="13574" max="13574" width="11.7109375" style="191" customWidth="1"/>
    <col min="13575" max="13575" width="0" style="191" hidden="1" customWidth="1"/>
    <col min="13576" max="13576" width="11.7109375" style="191" customWidth="1"/>
    <col min="13577" max="13578" width="12.42578125" style="191" customWidth="1"/>
    <col min="13579" max="13579" width="12.7109375" style="191" customWidth="1"/>
    <col min="13580" max="13580" width="12.85546875" style="191" customWidth="1"/>
    <col min="13581" max="13581" width="11.28515625" style="191" customWidth="1"/>
    <col min="13582" max="13582" width="0" style="191" hidden="1" customWidth="1"/>
    <col min="13583" max="13583" width="12.140625" style="191" customWidth="1"/>
    <col min="13584" max="13584" width="11.7109375" style="191" customWidth="1"/>
    <col min="13585" max="13585" width="12" style="191" customWidth="1"/>
    <col min="13586" max="13586" width="19.140625" style="191" customWidth="1"/>
    <col min="13587" max="13587" width="16.140625" style="191" bestFit="1" customWidth="1"/>
    <col min="13588" max="13588" width="28.140625" style="191" customWidth="1"/>
    <col min="13589" max="13589" width="10.28515625" style="191" bestFit="1" customWidth="1"/>
    <col min="13590" max="13590" width="5.85546875" style="191" customWidth="1"/>
    <col min="13591" max="13591" width="39.5703125" style="191" bestFit="1" customWidth="1"/>
    <col min="13592" max="13592" width="17.42578125" style="191" bestFit="1" customWidth="1"/>
    <col min="13593" max="13593" width="13" style="191" bestFit="1" customWidth="1"/>
    <col min="13594" max="13594" width="24.5703125" style="191" bestFit="1" customWidth="1"/>
    <col min="13595" max="13595" width="37.42578125" style="191" bestFit="1" customWidth="1"/>
    <col min="13596" max="13596" width="30.7109375" style="191" bestFit="1" customWidth="1"/>
    <col min="13597" max="13597" width="21.28515625" style="191" bestFit="1" customWidth="1"/>
    <col min="13598" max="13598" width="25.5703125" style="191" bestFit="1" customWidth="1"/>
    <col min="13599" max="13599" width="30" style="191" bestFit="1" customWidth="1"/>
    <col min="13600" max="13600" width="31.28515625" style="191" bestFit="1" customWidth="1"/>
    <col min="13601" max="13601" width="21.7109375" style="191" bestFit="1" customWidth="1"/>
    <col min="13602" max="13603" width="21.28515625" style="191" bestFit="1" customWidth="1"/>
    <col min="13604" max="13604" width="20.140625" style="191" bestFit="1" customWidth="1"/>
    <col min="13605" max="13824" width="9.140625" style="191"/>
    <col min="13825" max="13825" width="1.85546875" style="191" customWidth="1"/>
    <col min="13826" max="13826" width="6.140625" style="191" customWidth="1"/>
    <col min="13827" max="13827" width="29.7109375" style="191" customWidth="1"/>
    <col min="13828" max="13828" width="11.5703125" style="191" customWidth="1"/>
    <col min="13829" max="13829" width="11.28515625" style="191" customWidth="1"/>
    <col min="13830" max="13830" width="11.7109375" style="191" customWidth="1"/>
    <col min="13831" max="13831" width="0" style="191" hidden="1" customWidth="1"/>
    <col min="13832" max="13832" width="11.7109375" style="191" customWidth="1"/>
    <col min="13833" max="13834" width="12.42578125" style="191" customWidth="1"/>
    <col min="13835" max="13835" width="12.7109375" style="191" customWidth="1"/>
    <col min="13836" max="13836" width="12.85546875" style="191" customWidth="1"/>
    <col min="13837" max="13837" width="11.28515625" style="191" customWidth="1"/>
    <col min="13838" max="13838" width="0" style="191" hidden="1" customWidth="1"/>
    <col min="13839" max="13839" width="12.140625" style="191" customWidth="1"/>
    <col min="13840" max="13840" width="11.7109375" style="191" customWidth="1"/>
    <col min="13841" max="13841" width="12" style="191" customWidth="1"/>
    <col min="13842" max="13842" width="19.140625" style="191" customWidth="1"/>
    <col min="13843" max="13843" width="16.140625" style="191" bestFit="1" customWidth="1"/>
    <col min="13844" max="13844" width="28.140625" style="191" customWidth="1"/>
    <col min="13845" max="13845" width="10.28515625" style="191" bestFit="1" customWidth="1"/>
    <col min="13846" max="13846" width="5.85546875" style="191" customWidth="1"/>
    <col min="13847" max="13847" width="39.5703125" style="191" bestFit="1" customWidth="1"/>
    <col min="13848" max="13848" width="17.42578125" style="191" bestFit="1" customWidth="1"/>
    <col min="13849" max="13849" width="13" style="191" bestFit="1" customWidth="1"/>
    <col min="13850" max="13850" width="24.5703125" style="191" bestFit="1" customWidth="1"/>
    <col min="13851" max="13851" width="37.42578125" style="191" bestFit="1" customWidth="1"/>
    <col min="13852" max="13852" width="30.7109375" style="191" bestFit="1" customWidth="1"/>
    <col min="13853" max="13853" width="21.28515625" style="191" bestFit="1" customWidth="1"/>
    <col min="13854" max="13854" width="25.5703125" style="191" bestFit="1" customWidth="1"/>
    <col min="13855" max="13855" width="30" style="191" bestFit="1" customWidth="1"/>
    <col min="13856" max="13856" width="31.28515625" style="191" bestFit="1" customWidth="1"/>
    <col min="13857" max="13857" width="21.7109375" style="191" bestFit="1" customWidth="1"/>
    <col min="13858" max="13859" width="21.28515625" style="191" bestFit="1" customWidth="1"/>
    <col min="13860" max="13860" width="20.140625" style="191" bestFit="1" customWidth="1"/>
    <col min="13861" max="14080" width="9.140625" style="191"/>
    <col min="14081" max="14081" width="1.85546875" style="191" customWidth="1"/>
    <col min="14082" max="14082" width="6.140625" style="191" customWidth="1"/>
    <col min="14083" max="14083" width="29.7109375" style="191" customWidth="1"/>
    <col min="14084" max="14084" width="11.5703125" style="191" customWidth="1"/>
    <col min="14085" max="14085" width="11.28515625" style="191" customWidth="1"/>
    <col min="14086" max="14086" width="11.7109375" style="191" customWidth="1"/>
    <col min="14087" max="14087" width="0" style="191" hidden="1" customWidth="1"/>
    <col min="14088" max="14088" width="11.7109375" style="191" customWidth="1"/>
    <col min="14089" max="14090" width="12.42578125" style="191" customWidth="1"/>
    <col min="14091" max="14091" width="12.7109375" style="191" customWidth="1"/>
    <col min="14092" max="14092" width="12.85546875" style="191" customWidth="1"/>
    <col min="14093" max="14093" width="11.28515625" style="191" customWidth="1"/>
    <col min="14094" max="14094" width="0" style="191" hidden="1" customWidth="1"/>
    <col min="14095" max="14095" width="12.140625" style="191" customWidth="1"/>
    <col min="14096" max="14096" width="11.7109375" style="191" customWidth="1"/>
    <col min="14097" max="14097" width="12" style="191" customWidth="1"/>
    <col min="14098" max="14098" width="19.140625" style="191" customWidth="1"/>
    <col min="14099" max="14099" width="16.140625" style="191" bestFit="1" customWidth="1"/>
    <col min="14100" max="14100" width="28.140625" style="191" customWidth="1"/>
    <col min="14101" max="14101" width="10.28515625" style="191" bestFit="1" customWidth="1"/>
    <col min="14102" max="14102" width="5.85546875" style="191" customWidth="1"/>
    <col min="14103" max="14103" width="39.5703125" style="191" bestFit="1" customWidth="1"/>
    <col min="14104" max="14104" width="17.42578125" style="191" bestFit="1" customWidth="1"/>
    <col min="14105" max="14105" width="13" style="191" bestFit="1" customWidth="1"/>
    <col min="14106" max="14106" width="24.5703125" style="191" bestFit="1" customWidth="1"/>
    <col min="14107" max="14107" width="37.42578125" style="191" bestFit="1" customWidth="1"/>
    <col min="14108" max="14108" width="30.7109375" style="191" bestFit="1" customWidth="1"/>
    <col min="14109" max="14109" width="21.28515625" style="191" bestFit="1" customWidth="1"/>
    <col min="14110" max="14110" width="25.5703125" style="191" bestFit="1" customWidth="1"/>
    <col min="14111" max="14111" width="30" style="191" bestFit="1" customWidth="1"/>
    <col min="14112" max="14112" width="31.28515625" style="191" bestFit="1" customWidth="1"/>
    <col min="14113" max="14113" width="21.7109375" style="191" bestFit="1" customWidth="1"/>
    <col min="14114" max="14115" width="21.28515625" style="191" bestFit="1" customWidth="1"/>
    <col min="14116" max="14116" width="20.140625" style="191" bestFit="1" customWidth="1"/>
    <col min="14117" max="14336" width="9.140625" style="191"/>
    <col min="14337" max="14337" width="1.85546875" style="191" customWidth="1"/>
    <col min="14338" max="14338" width="6.140625" style="191" customWidth="1"/>
    <col min="14339" max="14339" width="29.7109375" style="191" customWidth="1"/>
    <col min="14340" max="14340" width="11.5703125" style="191" customWidth="1"/>
    <col min="14341" max="14341" width="11.28515625" style="191" customWidth="1"/>
    <col min="14342" max="14342" width="11.7109375" style="191" customWidth="1"/>
    <col min="14343" max="14343" width="0" style="191" hidden="1" customWidth="1"/>
    <col min="14344" max="14344" width="11.7109375" style="191" customWidth="1"/>
    <col min="14345" max="14346" width="12.42578125" style="191" customWidth="1"/>
    <col min="14347" max="14347" width="12.7109375" style="191" customWidth="1"/>
    <col min="14348" max="14348" width="12.85546875" style="191" customWidth="1"/>
    <col min="14349" max="14349" width="11.28515625" style="191" customWidth="1"/>
    <col min="14350" max="14350" width="0" style="191" hidden="1" customWidth="1"/>
    <col min="14351" max="14351" width="12.140625" style="191" customWidth="1"/>
    <col min="14352" max="14352" width="11.7109375" style="191" customWidth="1"/>
    <col min="14353" max="14353" width="12" style="191" customWidth="1"/>
    <col min="14354" max="14354" width="19.140625" style="191" customWidth="1"/>
    <col min="14355" max="14355" width="16.140625" style="191" bestFit="1" customWidth="1"/>
    <col min="14356" max="14356" width="28.140625" style="191" customWidth="1"/>
    <col min="14357" max="14357" width="10.28515625" style="191" bestFit="1" customWidth="1"/>
    <col min="14358" max="14358" width="5.85546875" style="191" customWidth="1"/>
    <col min="14359" max="14359" width="39.5703125" style="191" bestFit="1" customWidth="1"/>
    <col min="14360" max="14360" width="17.42578125" style="191" bestFit="1" customWidth="1"/>
    <col min="14361" max="14361" width="13" style="191" bestFit="1" customWidth="1"/>
    <col min="14362" max="14362" width="24.5703125" style="191" bestFit="1" customWidth="1"/>
    <col min="14363" max="14363" width="37.42578125" style="191" bestFit="1" customWidth="1"/>
    <col min="14364" max="14364" width="30.7109375" style="191" bestFit="1" customWidth="1"/>
    <col min="14365" max="14365" width="21.28515625" style="191" bestFit="1" customWidth="1"/>
    <col min="14366" max="14366" width="25.5703125" style="191" bestFit="1" customWidth="1"/>
    <col min="14367" max="14367" width="30" style="191" bestFit="1" customWidth="1"/>
    <col min="14368" max="14368" width="31.28515625" style="191" bestFit="1" customWidth="1"/>
    <col min="14369" max="14369" width="21.7109375" style="191" bestFit="1" customWidth="1"/>
    <col min="14370" max="14371" width="21.28515625" style="191" bestFit="1" customWidth="1"/>
    <col min="14372" max="14372" width="20.140625" style="191" bestFit="1" customWidth="1"/>
    <col min="14373" max="14592" width="9.140625" style="191"/>
    <col min="14593" max="14593" width="1.85546875" style="191" customWidth="1"/>
    <col min="14594" max="14594" width="6.140625" style="191" customWidth="1"/>
    <col min="14595" max="14595" width="29.7109375" style="191" customWidth="1"/>
    <col min="14596" max="14596" width="11.5703125" style="191" customWidth="1"/>
    <col min="14597" max="14597" width="11.28515625" style="191" customWidth="1"/>
    <col min="14598" max="14598" width="11.7109375" style="191" customWidth="1"/>
    <col min="14599" max="14599" width="0" style="191" hidden="1" customWidth="1"/>
    <col min="14600" max="14600" width="11.7109375" style="191" customWidth="1"/>
    <col min="14601" max="14602" width="12.42578125" style="191" customWidth="1"/>
    <col min="14603" max="14603" width="12.7109375" style="191" customWidth="1"/>
    <col min="14604" max="14604" width="12.85546875" style="191" customWidth="1"/>
    <col min="14605" max="14605" width="11.28515625" style="191" customWidth="1"/>
    <col min="14606" max="14606" width="0" style="191" hidden="1" customWidth="1"/>
    <col min="14607" max="14607" width="12.140625" style="191" customWidth="1"/>
    <col min="14608" max="14608" width="11.7109375" style="191" customWidth="1"/>
    <col min="14609" max="14609" width="12" style="191" customWidth="1"/>
    <col min="14610" max="14610" width="19.140625" style="191" customWidth="1"/>
    <col min="14611" max="14611" width="16.140625" style="191" bestFit="1" customWidth="1"/>
    <col min="14612" max="14612" width="28.140625" style="191" customWidth="1"/>
    <col min="14613" max="14613" width="10.28515625" style="191" bestFit="1" customWidth="1"/>
    <col min="14614" max="14614" width="5.85546875" style="191" customWidth="1"/>
    <col min="14615" max="14615" width="39.5703125" style="191" bestFit="1" customWidth="1"/>
    <col min="14616" max="14616" width="17.42578125" style="191" bestFit="1" customWidth="1"/>
    <col min="14617" max="14617" width="13" style="191" bestFit="1" customWidth="1"/>
    <col min="14618" max="14618" width="24.5703125" style="191" bestFit="1" customWidth="1"/>
    <col min="14619" max="14619" width="37.42578125" style="191" bestFit="1" customWidth="1"/>
    <col min="14620" max="14620" width="30.7109375" style="191" bestFit="1" customWidth="1"/>
    <col min="14621" max="14621" width="21.28515625" style="191" bestFit="1" customWidth="1"/>
    <col min="14622" max="14622" width="25.5703125" style="191" bestFit="1" customWidth="1"/>
    <col min="14623" max="14623" width="30" style="191" bestFit="1" customWidth="1"/>
    <col min="14624" max="14624" width="31.28515625" style="191" bestFit="1" customWidth="1"/>
    <col min="14625" max="14625" width="21.7109375" style="191" bestFit="1" customWidth="1"/>
    <col min="14626" max="14627" width="21.28515625" style="191" bestFit="1" customWidth="1"/>
    <col min="14628" max="14628" width="20.140625" style="191" bestFit="1" customWidth="1"/>
    <col min="14629" max="14848" width="9.140625" style="191"/>
    <col min="14849" max="14849" width="1.85546875" style="191" customWidth="1"/>
    <col min="14850" max="14850" width="6.140625" style="191" customWidth="1"/>
    <col min="14851" max="14851" width="29.7109375" style="191" customWidth="1"/>
    <col min="14852" max="14852" width="11.5703125" style="191" customWidth="1"/>
    <col min="14853" max="14853" width="11.28515625" style="191" customWidth="1"/>
    <col min="14854" max="14854" width="11.7109375" style="191" customWidth="1"/>
    <col min="14855" max="14855" width="0" style="191" hidden="1" customWidth="1"/>
    <col min="14856" max="14856" width="11.7109375" style="191" customWidth="1"/>
    <col min="14857" max="14858" width="12.42578125" style="191" customWidth="1"/>
    <col min="14859" max="14859" width="12.7109375" style="191" customWidth="1"/>
    <col min="14860" max="14860" width="12.85546875" style="191" customWidth="1"/>
    <col min="14861" max="14861" width="11.28515625" style="191" customWidth="1"/>
    <col min="14862" max="14862" width="0" style="191" hidden="1" customWidth="1"/>
    <col min="14863" max="14863" width="12.140625" style="191" customWidth="1"/>
    <col min="14864" max="14864" width="11.7109375" style="191" customWidth="1"/>
    <col min="14865" max="14865" width="12" style="191" customWidth="1"/>
    <col min="14866" max="14866" width="19.140625" style="191" customWidth="1"/>
    <col min="14867" max="14867" width="16.140625" style="191" bestFit="1" customWidth="1"/>
    <col min="14868" max="14868" width="28.140625" style="191" customWidth="1"/>
    <col min="14869" max="14869" width="10.28515625" style="191" bestFit="1" customWidth="1"/>
    <col min="14870" max="14870" width="5.85546875" style="191" customWidth="1"/>
    <col min="14871" max="14871" width="39.5703125" style="191" bestFit="1" customWidth="1"/>
    <col min="14872" max="14872" width="17.42578125" style="191" bestFit="1" customWidth="1"/>
    <col min="14873" max="14873" width="13" style="191" bestFit="1" customWidth="1"/>
    <col min="14874" max="14874" width="24.5703125" style="191" bestFit="1" customWidth="1"/>
    <col min="14875" max="14875" width="37.42578125" style="191" bestFit="1" customWidth="1"/>
    <col min="14876" max="14876" width="30.7109375" style="191" bestFit="1" customWidth="1"/>
    <col min="14877" max="14877" width="21.28515625" style="191" bestFit="1" customWidth="1"/>
    <col min="14878" max="14878" width="25.5703125" style="191" bestFit="1" customWidth="1"/>
    <col min="14879" max="14879" width="30" style="191" bestFit="1" customWidth="1"/>
    <col min="14880" max="14880" width="31.28515625" style="191" bestFit="1" customWidth="1"/>
    <col min="14881" max="14881" width="21.7109375" style="191" bestFit="1" customWidth="1"/>
    <col min="14882" max="14883" width="21.28515625" style="191" bestFit="1" customWidth="1"/>
    <col min="14884" max="14884" width="20.140625" style="191" bestFit="1" customWidth="1"/>
    <col min="14885" max="15104" width="9.140625" style="191"/>
    <col min="15105" max="15105" width="1.85546875" style="191" customWidth="1"/>
    <col min="15106" max="15106" width="6.140625" style="191" customWidth="1"/>
    <col min="15107" max="15107" width="29.7109375" style="191" customWidth="1"/>
    <col min="15108" max="15108" width="11.5703125" style="191" customWidth="1"/>
    <col min="15109" max="15109" width="11.28515625" style="191" customWidth="1"/>
    <col min="15110" max="15110" width="11.7109375" style="191" customWidth="1"/>
    <col min="15111" max="15111" width="0" style="191" hidden="1" customWidth="1"/>
    <col min="15112" max="15112" width="11.7109375" style="191" customWidth="1"/>
    <col min="15113" max="15114" width="12.42578125" style="191" customWidth="1"/>
    <col min="15115" max="15115" width="12.7109375" style="191" customWidth="1"/>
    <col min="15116" max="15116" width="12.85546875" style="191" customWidth="1"/>
    <col min="15117" max="15117" width="11.28515625" style="191" customWidth="1"/>
    <col min="15118" max="15118" width="0" style="191" hidden="1" customWidth="1"/>
    <col min="15119" max="15119" width="12.140625" style="191" customWidth="1"/>
    <col min="15120" max="15120" width="11.7109375" style="191" customWidth="1"/>
    <col min="15121" max="15121" width="12" style="191" customWidth="1"/>
    <col min="15122" max="15122" width="19.140625" style="191" customWidth="1"/>
    <col min="15123" max="15123" width="16.140625" style="191" bestFit="1" customWidth="1"/>
    <col min="15124" max="15124" width="28.140625" style="191" customWidth="1"/>
    <col min="15125" max="15125" width="10.28515625" style="191" bestFit="1" customWidth="1"/>
    <col min="15126" max="15126" width="5.85546875" style="191" customWidth="1"/>
    <col min="15127" max="15127" width="39.5703125" style="191" bestFit="1" customWidth="1"/>
    <col min="15128" max="15128" width="17.42578125" style="191" bestFit="1" customWidth="1"/>
    <col min="15129" max="15129" width="13" style="191" bestFit="1" customWidth="1"/>
    <col min="15130" max="15130" width="24.5703125" style="191" bestFit="1" customWidth="1"/>
    <col min="15131" max="15131" width="37.42578125" style="191" bestFit="1" customWidth="1"/>
    <col min="15132" max="15132" width="30.7109375" style="191" bestFit="1" customWidth="1"/>
    <col min="15133" max="15133" width="21.28515625" style="191" bestFit="1" customWidth="1"/>
    <col min="15134" max="15134" width="25.5703125" style="191" bestFit="1" customWidth="1"/>
    <col min="15135" max="15135" width="30" style="191" bestFit="1" customWidth="1"/>
    <col min="15136" max="15136" width="31.28515625" style="191" bestFit="1" customWidth="1"/>
    <col min="15137" max="15137" width="21.7109375" style="191" bestFit="1" customWidth="1"/>
    <col min="15138" max="15139" width="21.28515625" style="191" bestFit="1" customWidth="1"/>
    <col min="15140" max="15140" width="20.140625" style="191" bestFit="1" customWidth="1"/>
    <col min="15141" max="15360" width="9.140625" style="191"/>
    <col min="15361" max="15361" width="1.85546875" style="191" customWidth="1"/>
    <col min="15362" max="15362" width="6.140625" style="191" customWidth="1"/>
    <col min="15363" max="15363" width="29.7109375" style="191" customWidth="1"/>
    <col min="15364" max="15364" width="11.5703125" style="191" customWidth="1"/>
    <col min="15365" max="15365" width="11.28515625" style="191" customWidth="1"/>
    <col min="15366" max="15366" width="11.7109375" style="191" customWidth="1"/>
    <col min="15367" max="15367" width="0" style="191" hidden="1" customWidth="1"/>
    <col min="15368" max="15368" width="11.7109375" style="191" customWidth="1"/>
    <col min="15369" max="15370" width="12.42578125" style="191" customWidth="1"/>
    <col min="15371" max="15371" width="12.7109375" style="191" customWidth="1"/>
    <col min="15372" max="15372" width="12.85546875" style="191" customWidth="1"/>
    <col min="15373" max="15373" width="11.28515625" style="191" customWidth="1"/>
    <col min="15374" max="15374" width="0" style="191" hidden="1" customWidth="1"/>
    <col min="15375" max="15375" width="12.140625" style="191" customWidth="1"/>
    <col min="15376" max="15376" width="11.7109375" style="191" customWidth="1"/>
    <col min="15377" max="15377" width="12" style="191" customWidth="1"/>
    <col min="15378" max="15378" width="19.140625" style="191" customWidth="1"/>
    <col min="15379" max="15379" width="16.140625" style="191" bestFit="1" customWidth="1"/>
    <col min="15380" max="15380" width="28.140625" style="191" customWidth="1"/>
    <col min="15381" max="15381" width="10.28515625" style="191" bestFit="1" customWidth="1"/>
    <col min="15382" max="15382" width="5.85546875" style="191" customWidth="1"/>
    <col min="15383" max="15383" width="39.5703125" style="191" bestFit="1" customWidth="1"/>
    <col min="15384" max="15384" width="17.42578125" style="191" bestFit="1" customWidth="1"/>
    <col min="15385" max="15385" width="13" style="191" bestFit="1" customWidth="1"/>
    <col min="15386" max="15386" width="24.5703125" style="191" bestFit="1" customWidth="1"/>
    <col min="15387" max="15387" width="37.42578125" style="191" bestFit="1" customWidth="1"/>
    <col min="15388" max="15388" width="30.7109375" style="191" bestFit="1" customWidth="1"/>
    <col min="15389" max="15389" width="21.28515625" style="191" bestFit="1" customWidth="1"/>
    <col min="15390" max="15390" width="25.5703125" style="191" bestFit="1" customWidth="1"/>
    <col min="15391" max="15391" width="30" style="191" bestFit="1" customWidth="1"/>
    <col min="15392" max="15392" width="31.28515625" style="191" bestFit="1" customWidth="1"/>
    <col min="15393" max="15393" width="21.7109375" style="191" bestFit="1" customWidth="1"/>
    <col min="15394" max="15395" width="21.28515625" style="191" bestFit="1" customWidth="1"/>
    <col min="15396" max="15396" width="20.140625" style="191" bestFit="1" customWidth="1"/>
    <col min="15397" max="15616" width="9.140625" style="191"/>
    <col min="15617" max="15617" width="1.85546875" style="191" customWidth="1"/>
    <col min="15618" max="15618" width="6.140625" style="191" customWidth="1"/>
    <col min="15619" max="15619" width="29.7109375" style="191" customWidth="1"/>
    <col min="15620" max="15620" width="11.5703125" style="191" customWidth="1"/>
    <col min="15621" max="15621" width="11.28515625" style="191" customWidth="1"/>
    <col min="15622" max="15622" width="11.7109375" style="191" customWidth="1"/>
    <col min="15623" max="15623" width="0" style="191" hidden="1" customWidth="1"/>
    <col min="15624" max="15624" width="11.7109375" style="191" customWidth="1"/>
    <col min="15625" max="15626" width="12.42578125" style="191" customWidth="1"/>
    <col min="15627" max="15627" width="12.7109375" style="191" customWidth="1"/>
    <col min="15628" max="15628" width="12.85546875" style="191" customWidth="1"/>
    <col min="15629" max="15629" width="11.28515625" style="191" customWidth="1"/>
    <col min="15630" max="15630" width="0" style="191" hidden="1" customWidth="1"/>
    <col min="15631" max="15631" width="12.140625" style="191" customWidth="1"/>
    <col min="15632" max="15632" width="11.7109375" style="191" customWidth="1"/>
    <col min="15633" max="15633" width="12" style="191" customWidth="1"/>
    <col min="15634" max="15634" width="19.140625" style="191" customWidth="1"/>
    <col min="15635" max="15635" width="16.140625" style="191" bestFit="1" customWidth="1"/>
    <col min="15636" max="15636" width="28.140625" style="191" customWidth="1"/>
    <col min="15637" max="15637" width="10.28515625" style="191" bestFit="1" customWidth="1"/>
    <col min="15638" max="15638" width="5.85546875" style="191" customWidth="1"/>
    <col min="15639" max="15639" width="39.5703125" style="191" bestFit="1" customWidth="1"/>
    <col min="15640" max="15640" width="17.42578125" style="191" bestFit="1" customWidth="1"/>
    <col min="15641" max="15641" width="13" style="191" bestFit="1" customWidth="1"/>
    <col min="15642" max="15642" width="24.5703125" style="191" bestFit="1" customWidth="1"/>
    <col min="15643" max="15643" width="37.42578125" style="191" bestFit="1" customWidth="1"/>
    <col min="15644" max="15644" width="30.7109375" style="191" bestFit="1" customWidth="1"/>
    <col min="15645" max="15645" width="21.28515625" style="191" bestFit="1" customWidth="1"/>
    <col min="15646" max="15646" width="25.5703125" style="191" bestFit="1" customWidth="1"/>
    <col min="15647" max="15647" width="30" style="191" bestFit="1" customWidth="1"/>
    <col min="15648" max="15648" width="31.28515625" style="191" bestFit="1" customWidth="1"/>
    <col min="15649" max="15649" width="21.7109375" style="191" bestFit="1" customWidth="1"/>
    <col min="15650" max="15651" width="21.28515625" style="191" bestFit="1" customWidth="1"/>
    <col min="15652" max="15652" width="20.140625" style="191" bestFit="1" customWidth="1"/>
    <col min="15653" max="15872" width="9.140625" style="191"/>
    <col min="15873" max="15873" width="1.85546875" style="191" customWidth="1"/>
    <col min="15874" max="15874" width="6.140625" style="191" customWidth="1"/>
    <col min="15875" max="15875" width="29.7109375" style="191" customWidth="1"/>
    <col min="15876" max="15876" width="11.5703125" style="191" customWidth="1"/>
    <col min="15877" max="15877" width="11.28515625" style="191" customWidth="1"/>
    <col min="15878" max="15878" width="11.7109375" style="191" customWidth="1"/>
    <col min="15879" max="15879" width="0" style="191" hidden="1" customWidth="1"/>
    <col min="15880" max="15880" width="11.7109375" style="191" customWidth="1"/>
    <col min="15881" max="15882" width="12.42578125" style="191" customWidth="1"/>
    <col min="15883" max="15883" width="12.7109375" style="191" customWidth="1"/>
    <col min="15884" max="15884" width="12.85546875" style="191" customWidth="1"/>
    <col min="15885" max="15885" width="11.28515625" style="191" customWidth="1"/>
    <col min="15886" max="15886" width="0" style="191" hidden="1" customWidth="1"/>
    <col min="15887" max="15887" width="12.140625" style="191" customWidth="1"/>
    <col min="15888" max="15888" width="11.7109375" style="191" customWidth="1"/>
    <col min="15889" max="15889" width="12" style="191" customWidth="1"/>
    <col min="15890" max="15890" width="19.140625" style="191" customWidth="1"/>
    <col min="15891" max="15891" width="16.140625" style="191" bestFit="1" customWidth="1"/>
    <col min="15892" max="15892" width="28.140625" style="191" customWidth="1"/>
    <col min="15893" max="15893" width="10.28515625" style="191" bestFit="1" customWidth="1"/>
    <col min="15894" max="15894" width="5.85546875" style="191" customWidth="1"/>
    <col min="15895" max="15895" width="39.5703125" style="191" bestFit="1" customWidth="1"/>
    <col min="15896" max="15896" width="17.42578125" style="191" bestFit="1" customWidth="1"/>
    <col min="15897" max="15897" width="13" style="191" bestFit="1" customWidth="1"/>
    <col min="15898" max="15898" width="24.5703125" style="191" bestFit="1" customWidth="1"/>
    <col min="15899" max="15899" width="37.42578125" style="191" bestFit="1" customWidth="1"/>
    <col min="15900" max="15900" width="30.7109375" style="191" bestFit="1" customWidth="1"/>
    <col min="15901" max="15901" width="21.28515625" style="191" bestFit="1" customWidth="1"/>
    <col min="15902" max="15902" width="25.5703125" style="191" bestFit="1" customWidth="1"/>
    <col min="15903" max="15903" width="30" style="191" bestFit="1" customWidth="1"/>
    <col min="15904" max="15904" width="31.28515625" style="191" bestFit="1" customWidth="1"/>
    <col min="15905" max="15905" width="21.7109375" style="191" bestFit="1" customWidth="1"/>
    <col min="15906" max="15907" width="21.28515625" style="191" bestFit="1" customWidth="1"/>
    <col min="15908" max="15908" width="20.140625" style="191" bestFit="1" customWidth="1"/>
    <col min="15909" max="16128" width="9.140625" style="191"/>
    <col min="16129" max="16129" width="1.85546875" style="191" customWidth="1"/>
    <col min="16130" max="16130" width="6.140625" style="191" customWidth="1"/>
    <col min="16131" max="16131" width="29.7109375" style="191" customWidth="1"/>
    <col min="16132" max="16132" width="11.5703125" style="191" customWidth="1"/>
    <col min="16133" max="16133" width="11.28515625" style="191" customWidth="1"/>
    <col min="16134" max="16134" width="11.7109375" style="191" customWidth="1"/>
    <col min="16135" max="16135" width="0" style="191" hidden="1" customWidth="1"/>
    <col min="16136" max="16136" width="11.7109375" style="191" customWidth="1"/>
    <col min="16137" max="16138" width="12.42578125" style="191" customWidth="1"/>
    <col min="16139" max="16139" width="12.7109375" style="191" customWidth="1"/>
    <col min="16140" max="16140" width="12.85546875" style="191" customWidth="1"/>
    <col min="16141" max="16141" width="11.28515625" style="191" customWidth="1"/>
    <col min="16142" max="16142" width="0" style="191" hidden="1" customWidth="1"/>
    <col min="16143" max="16143" width="12.140625" style="191" customWidth="1"/>
    <col min="16144" max="16144" width="11.7109375" style="191" customWidth="1"/>
    <col min="16145" max="16145" width="12" style="191" customWidth="1"/>
    <col min="16146" max="16146" width="19.140625" style="191" customWidth="1"/>
    <col min="16147" max="16147" width="16.140625" style="191" bestFit="1" customWidth="1"/>
    <col min="16148" max="16148" width="28.140625" style="191" customWidth="1"/>
    <col min="16149" max="16149" width="10.28515625" style="191" bestFit="1" customWidth="1"/>
    <col min="16150" max="16150" width="5.85546875" style="191" customWidth="1"/>
    <col min="16151" max="16151" width="39.5703125" style="191" bestFit="1" customWidth="1"/>
    <col min="16152" max="16152" width="17.42578125" style="191" bestFit="1" customWidth="1"/>
    <col min="16153" max="16153" width="13" style="191" bestFit="1" customWidth="1"/>
    <col min="16154" max="16154" width="24.5703125" style="191" bestFit="1" customWidth="1"/>
    <col min="16155" max="16155" width="37.42578125" style="191" bestFit="1" customWidth="1"/>
    <col min="16156" max="16156" width="30.7109375" style="191" bestFit="1" customWidth="1"/>
    <col min="16157" max="16157" width="21.28515625" style="191" bestFit="1" customWidth="1"/>
    <col min="16158" max="16158" width="25.5703125" style="191" bestFit="1" customWidth="1"/>
    <col min="16159" max="16159" width="30" style="191" bestFit="1" customWidth="1"/>
    <col min="16160" max="16160" width="31.28515625" style="191" bestFit="1" customWidth="1"/>
    <col min="16161" max="16161" width="21.7109375" style="191" bestFit="1" customWidth="1"/>
    <col min="16162" max="16163" width="21.28515625" style="191" bestFit="1" customWidth="1"/>
    <col min="16164" max="16164" width="20.140625" style="191" bestFit="1" customWidth="1"/>
    <col min="16165" max="16384" width="9.140625" style="191"/>
  </cols>
  <sheetData>
    <row r="2" spans="1:23" ht="19.5" customHeight="1">
      <c r="B2" s="345" t="s">
        <v>352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189"/>
    </row>
    <row r="3" spans="1:23" s="193" customFormat="1">
      <c r="A3" s="188"/>
      <c r="B3" s="346" t="s">
        <v>351</v>
      </c>
      <c r="C3" s="347" t="s">
        <v>2</v>
      </c>
      <c r="D3" s="348" t="s">
        <v>350</v>
      </c>
      <c r="E3" s="349"/>
      <c r="F3" s="349"/>
      <c r="G3" s="349"/>
      <c r="H3" s="349"/>
      <c r="I3" s="350"/>
      <c r="J3" s="348" t="s">
        <v>349</v>
      </c>
      <c r="K3" s="349"/>
      <c r="L3" s="349"/>
      <c r="M3" s="349"/>
      <c r="N3" s="349"/>
      <c r="O3" s="350"/>
      <c r="P3" s="348" t="s">
        <v>348</v>
      </c>
      <c r="Q3" s="350"/>
      <c r="R3" s="192"/>
      <c r="S3" s="190"/>
    </row>
    <row r="4" spans="1:23" ht="76.5" customHeight="1">
      <c r="B4" s="346"/>
      <c r="C4" s="347"/>
      <c r="D4" s="194" t="s">
        <v>380</v>
      </c>
      <c r="E4" s="194" t="s">
        <v>346</v>
      </c>
      <c r="F4" s="194" t="s">
        <v>345</v>
      </c>
      <c r="G4" s="194" t="s">
        <v>344</v>
      </c>
      <c r="H4" s="194" t="s">
        <v>343</v>
      </c>
      <c r="I4" s="194" t="s">
        <v>381</v>
      </c>
      <c r="J4" s="194" t="s">
        <v>382</v>
      </c>
      <c r="K4" s="194" t="s">
        <v>341</v>
      </c>
      <c r="L4" s="194" t="s">
        <v>340</v>
      </c>
      <c r="M4" s="194" t="s">
        <v>339</v>
      </c>
      <c r="N4" s="194" t="s">
        <v>338</v>
      </c>
      <c r="O4" s="194" t="s">
        <v>381</v>
      </c>
      <c r="P4" s="194" t="s">
        <v>383</v>
      </c>
      <c r="Q4" s="194" t="s">
        <v>384</v>
      </c>
      <c r="R4" s="195"/>
      <c r="T4" s="196">
        <f>+K24+M24-L24</f>
        <v>829.44999999999993</v>
      </c>
    </row>
    <row r="5" spans="1:23" hidden="1">
      <c r="B5" s="197"/>
      <c r="C5" s="198"/>
      <c r="D5" s="199" t="s">
        <v>334</v>
      </c>
      <c r="E5" s="199" t="s">
        <v>334</v>
      </c>
      <c r="F5" s="199" t="s">
        <v>334</v>
      </c>
      <c r="G5" s="199" t="s">
        <v>334</v>
      </c>
      <c r="H5" s="199" t="s">
        <v>334</v>
      </c>
      <c r="I5" s="199" t="s">
        <v>334</v>
      </c>
      <c r="J5" s="199" t="s">
        <v>334</v>
      </c>
      <c r="K5" s="199" t="s">
        <v>334</v>
      </c>
      <c r="L5" s="199" t="s">
        <v>334</v>
      </c>
      <c r="M5" s="199" t="s">
        <v>334</v>
      </c>
      <c r="N5" s="199" t="s">
        <v>334</v>
      </c>
      <c r="O5" s="199" t="s">
        <v>334</v>
      </c>
      <c r="P5" s="199" t="s">
        <v>334</v>
      </c>
      <c r="Q5" s="199" t="s">
        <v>334</v>
      </c>
      <c r="R5" s="200"/>
    </row>
    <row r="6" spans="1:23" ht="21.75" customHeight="1">
      <c r="B6" s="197" t="s">
        <v>333</v>
      </c>
      <c r="C6" s="201" t="s">
        <v>332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202"/>
    </row>
    <row r="7" spans="1:23" s="207" customFormat="1" ht="21.75" customHeight="1">
      <c r="A7" s="203">
        <v>49</v>
      </c>
      <c r="B7" s="204"/>
      <c r="C7" s="205" t="s">
        <v>331</v>
      </c>
      <c r="D7" s="148">
        <v>8.64</v>
      </c>
      <c r="E7" s="148">
        <f>(I7+H7+F7)-(G7+D7)</f>
        <v>0</v>
      </c>
      <c r="F7" s="148">
        <v>0</v>
      </c>
      <c r="G7" s="148"/>
      <c r="H7" s="148"/>
      <c r="I7" s="149">
        <f>IF(ISNA(VLOOKUP($A7,[3]Report!$E$5:$I$250,5,FALSE)),"0",VLOOKUP($A7,[3]Report!$E$5:$I$250,5,FALSE))</f>
        <v>8.64</v>
      </c>
      <c r="J7" s="148">
        <v>0</v>
      </c>
      <c r="K7" s="148">
        <f>+O7-J7+L7+N7-M7</f>
        <v>0</v>
      </c>
      <c r="L7" s="148">
        <v>0</v>
      </c>
      <c r="M7" s="148"/>
      <c r="N7" s="148"/>
      <c r="O7" s="149">
        <v>0</v>
      </c>
      <c r="P7" s="148">
        <f t="shared" ref="P7:P17" si="0">+I7-O7</f>
        <v>8.64</v>
      </c>
      <c r="Q7" s="148">
        <v>8.64</v>
      </c>
      <c r="R7" s="147"/>
      <c r="S7" s="161"/>
      <c r="T7" s="206">
        <f>D7+E7-F7+G7</f>
        <v>8.64</v>
      </c>
      <c r="U7" s="206">
        <f>I7-T7</f>
        <v>0</v>
      </c>
      <c r="W7" s="206">
        <f>+K7+L7</f>
        <v>0</v>
      </c>
    </row>
    <row r="8" spans="1:23" s="207" customFormat="1" ht="21.75" customHeight="1">
      <c r="A8" s="203">
        <v>50</v>
      </c>
      <c r="B8" s="204"/>
      <c r="C8" s="205" t="s">
        <v>311</v>
      </c>
      <c r="D8" s="148">
        <v>374.22</v>
      </c>
      <c r="E8" s="148">
        <f t="shared" ref="E8:E17" si="1">(I8+H8+F8)-(G8+D8)</f>
        <v>9.5399999999999636</v>
      </c>
      <c r="F8" s="148">
        <v>0</v>
      </c>
      <c r="G8" s="148"/>
      <c r="H8" s="148"/>
      <c r="I8" s="149">
        <f>IF(ISNA(VLOOKUP($A8,[3]Report!$E$5:$I$250,5,FALSE)),"0",VLOOKUP($A8,[3]Report!$E$5:$I$250,5,FALSE))</f>
        <v>383.76</v>
      </c>
      <c r="J8" s="148">
        <v>118.9</v>
      </c>
      <c r="K8" s="148">
        <f>+O8-J8+L8+N8-M8</f>
        <v>12.599999999999994</v>
      </c>
      <c r="L8" s="148">
        <v>0</v>
      </c>
      <c r="M8" s="208"/>
      <c r="N8" s="148"/>
      <c r="O8" s="149">
        <f>IF(ISNA(VLOOKUP($S8,[3]Report!$E$5:$I$250,5,FALSE)),"0",VLOOKUP($S8,[3]Report!$E$5:$I$250,5,FALSE)*-1)</f>
        <v>131.5</v>
      </c>
      <c r="P8" s="148">
        <f t="shared" si="0"/>
        <v>252.26</v>
      </c>
      <c r="Q8" s="148">
        <v>255.32000000000002</v>
      </c>
      <c r="R8" s="147"/>
      <c r="S8" s="161">
        <v>67</v>
      </c>
      <c r="T8" s="206">
        <f t="shared" ref="T8:T23" si="2">D8+E8-F8+G8</f>
        <v>383.76</v>
      </c>
      <c r="U8" s="206">
        <f t="shared" ref="U8:U23" si="3">I8-T8</f>
        <v>0</v>
      </c>
      <c r="W8" s="206">
        <f t="shared" ref="W8:W17" si="4">+K8+L8</f>
        <v>12.599999999999994</v>
      </c>
    </row>
    <row r="9" spans="1:23" s="207" customFormat="1" ht="21.75" customHeight="1">
      <c r="A9" s="203">
        <v>51</v>
      </c>
      <c r="B9" s="204"/>
      <c r="C9" s="205" t="s">
        <v>330</v>
      </c>
      <c r="D9" s="148">
        <v>221.08</v>
      </c>
      <c r="E9" s="148">
        <f t="shared" si="1"/>
        <v>8.1499999999999773</v>
      </c>
      <c r="F9" s="148">
        <v>0</v>
      </c>
      <c r="G9" s="148"/>
      <c r="H9" s="148"/>
      <c r="I9" s="149">
        <f>IF(ISNA(VLOOKUP($A9,[3]Report!$E$5:$I$250,5,FALSE)),"0",VLOOKUP($A9,[3]Report!$E$5:$I$250,5,FALSE))</f>
        <v>229.23</v>
      </c>
      <c r="J9" s="148">
        <v>44.42</v>
      </c>
      <c r="K9" s="148">
        <f t="shared" ref="K9:K17" si="5">+O9-J9+L9+N9-M9</f>
        <v>7.5499999999999972</v>
      </c>
      <c r="L9" s="148">
        <v>0</v>
      </c>
      <c r="M9" s="208"/>
      <c r="N9" s="148"/>
      <c r="O9" s="149">
        <f>IF(ISNA(VLOOKUP($S9,[3]Report!$E$5:$I$250,5,FALSE)),"0",VLOOKUP($S9,[3]Report!$E$5:$I$250,5,FALSE)*-1)</f>
        <v>51.97</v>
      </c>
      <c r="P9" s="148">
        <f t="shared" si="0"/>
        <v>177.26</v>
      </c>
      <c r="Q9" s="148">
        <v>176.66000000000003</v>
      </c>
      <c r="R9" s="147"/>
      <c r="S9" s="161">
        <v>68</v>
      </c>
      <c r="T9" s="206">
        <f t="shared" si="2"/>
        <v>229.23</v>
      </c>
      <c r="U9" s="206">
        <f t="shared" si="3"/>
        <v>0</v>
      </c>
      <c r="W9" s="206">
        <f t="shared" si="4"/>
        <v>7.5499999999999972</v>
      </c>
    </row>
    <row r="10" spans="1:23" s="207" customFormat="1" ht="21.75" customHeight="1">
      <c r="A10" s="203">
        <v>52</v>
      </c>
      <c r="B10" s="204"/>
      <c r="C10" s="205" t="s">
        <v>312</v>
      </c>
      <c r="D10" s="148">
        <v>8986.880000000001</v>
      </c>
      <c r="E10" s="148">
        <f t="shared" si="1"/>
        <v>735.93999999999869</v>
      </c>
      <c r="F10" s="209">
        <f>3.48+0.02</f>
        <v>3.5</v>
      </c>
      <c r="G10" s="148"/>
      <c r="H10" s="148"/>
      <c r="I10" s="149">
        <f>IF(ISNA(VLOOKUP($A10,[3]Report!$E$5:$I$250,5,FALSE)),"0",VLOOKUP($A10,[3]Report!$E$5:$I$250,5,FALSE))</f>
        <v>9719.32</v>
      </c>
      <c r="J10" s="148">
        <v>4735.26</v>
      </c>
      <c r="K10" s="148">
        <f t="shared" si="5"/>
        <v>372.19000000000005</v>
      </c>
      <c r="L10" s="148">
        <v>3.02</v>
      </c>
      <c r="M10" s="208"/>
      <c r="N10" s="148"/>
      <c r="O10" s="149">
        <f>IF(ISNA(VLOOKUP($S10,[3]Report!$E$5:$I$250,5,FALSE)),"0",VLOOKUP($S10,[3]Report!$E$5:$I$250,5,FALSE)*-1)</f>
        <v>5104.43</v>
      </c>
      <c r="P10" s="148">
        <f t="shared" si="0"/>
        <v>4614.8899999999994</v>
      </c>
      <c r="Q10" s="148">
        <v>4251.6200000000008</v>
      </c>
      <c r="R10" s="147"/>
      <c r="S10" s="159">
        <v>69</v>
      </c>
      <c r="T10" s="206">
        <f t="shared" si="2"/>
        <v>9719.32</v>
      </c>
      <c r="U10" s="206">
        <f t="shared" si="3"/>
        <v>0</v>
      </c>
      <c r="W10" s="206">
        <f t="shared" si="4"/>
        <v>375.21000000000004</v>
      </c>
    </row>
    <row r="11" spans="1:23" s="212" customFormat="1" ht="21.75" customHeight="1">
      <c r="A11" s="210">
        <v>53</v>
      </c>
      <c r="B11" s="211"/>
      <c r="C11" s="205" t="s">
        <v>329</v>
      </c>
      <c r="D11" s="148">
        <v>8680.09</v>
      </c>
      <c r="E11" s="148">
        <f t="shared" si="1"/>
        <v>823.30999999999949</v>
      </c>
      <c r="F11" s="148">
        <v>0</v>
      </c>
      <c r="G11" s="148"/>
      <c r="H11" s="148"/>
      <c r="I11" s="149">
        <f>IF(ISNA(VLOOKUP($A11,[3]Report!$E$5:$I$250,5,FALSE)),"0",VLOOKUP($A11,[3]Report!$E$5:$I$250,5,FALSE))</f>
        <v>9503.4</v>
      </c>
      <c r="J11" s="148">
        <v>4126.13</v>
      </c>
      <c r="K11" s="148">
        <f t="shared" si="5"/>
        <v>374.5</v>
      </c>
      <c r="L11" s="148">
        <v>0</v>
      </c>
      <c r="M11" s="208"/>
      <c r="N11" s="148"/>
      <c r="O11" s="149">
        <f>IF(ISNA(VLOOKUP($S11,[3]Report!$E$5:$I$250,5,FALSE)),"0",VLOOKUP($S11,[3]Report!$E$5:$I$250,5,FALSE)*-1)</f>
        <v>4500.63</v>
      </c>
      <c r="P11" s="148">
        <f t="shared" si="0"/>
        <v>5002.7699999999995</v>
      </c>
      <c r="Q11" s="148">
        <v>4553.96</v>
      </c>
      <c r="R11" s="147"/>
      <c r="S11" s="159">
        <v>70</v>
      </c>
      <c r="T11" s="206">
        <f t="shared" si="2"/>
        <v>9503.4</v>
      </c>
      <c r="U11" s="206">
        <f t="shared" si="3"/>
        <v>0</v>
      </c>
      <c r="W11" s="206">
        <f t="shared" si="4"/>
        <v>374.5</v>
      </c>
    </row>
    <row r="12" spans="1:23" s="212" customFormat="1" ht="21.75" customHeight="1">
      <c r="A12" s="210">
        <v>54</v>
      </c>
      <c r="B12" s="211"/>
      <c r="C12" s="205" t="s">
        <v>328</v>
      </c>
      <c r="D12" s="148">
        <v>1827.32</v>
      </c>
      <c r="E12" s="148">
        <f t="shared" si="1"/>
        <v>179.32000000000016</v>
      </c>
      <c r="F12" s="209">
        <v>11.96</v>
      </c>
      <c r="G12" s="148"/>
      <c r="H12" s="148"/>
      <c r="I12" s="149">
        <f>IF(ISNA(VLOOKUP($A12,[3]Report!$E$5:$I$250,5,FALSE)),"0",VLOOKUP($A12,[3]Report!$E$5:$I$250,5,FALSE))</f>
        <v>1994.68</v>
      </c>
      <c r="J12" s="148">
        <v>1151.95</v>
      </c>
      <c r="K12" s="148">
        <f t="shared" si="5"/>
        <v>55.189999999999969</v>
      </c>
      <c r="L12" s="148">
        <f>9.66</f>
        <v>9.66</v>
      </c>
      <c r="M12" s="208"/>
      <c r="N12" s="148"/>
      <c r="O12" s="148">
        <f>IF(ISNA(VLOOKUP($S12,[3]Report!$E$5:$I$250,5,FALSE)),"0",VLOOKUP($S12,[3]Report!$E$5:$I$250,5,FALSE)*-1)</f>
        <v>1197.48</v>
      </c>
      <c r="P12" s="148">
        <f t="shared" si="0"/>
        <v>797.2</v>
      </c>
      <c r="Q12" s="148">
        <v>675.36999999999989</v>
      </c>
      <c r="R12" s="147"/>
      <c r="S12" s="159">
        <v>71</v>
      </c>
      <c r="T12" s="206">
        <f t="shared" si="2"/>
        <v>1994.68</v>
      </c>
      <c r="U12" s="206">
        <f t="shared" si="3"/>
        <v>0</v>
      </c>
      <c r="W12" s="206">
        <f t="shared" si="4"/>
        <v>64.849999999999966</v>
      </c>
    </row>
    <row r="13" spans="1:23" s="207" customFormat="1" ht="21.75" customHeight="1">
      <c r="A13" s="203">
        <v>55</v>
      </c>
      <c r="B13" s="204"/>
      <c r="C13" s="205" t="s">
        <v>313</v>
      </c>
      <c r="D13" s="148">
        <v>7.08</v>
      </c>
      <c r="E13" s="148">
        <f t="shared" si="1"/>
        <v>0.28000000000000025</v>
      </c>
      <c r="F13" s="148">
        <v>0</v>
      </c>
      <c r="G13" s="148"/>
      <c r="H13" s="148"/>
      <c r="I13" s="149">
        <f>IF(ISNA(VLOOKUP($A13,[3]Report!$E$5:$I$250,5,FALSE)),"0",VLOOKUP($A13,[3]Report!$E$5:$I$250,5,FALSE))</f>
        <v>7.36</v>
      </c>
      <c r="J13" s="148">
        <v>6.37</v>
      </c>
      <c r="K13" s="148">
        <f t="shared" si="5"/>
        <v>1.9999999999999574E-2</v>
      </c>
      <c r="L13" s="148">
        <v>0</v>
      </c>
      <c r="M13" s="148"/>
      <c r="N13" s="148"/>
      <c r="O13" s="149">
        <f>IF(ISNA(VLOOKUP($S13,[3]Report!$E$5:$I$250,5,FALSE)),"0",VLOOKUP($S13,[3]Report!$E$5:$I$250,5,FALSE)*-1)</f>
        <v>6.39</v>
      </c>
      <c r="P13" s="148">
        <f t="shared" si="0"/>
        <v>0.97000000000000064</v>
      </c>
      <c r="Q13" s="148">
        <v>0.71</v>
      </c>
      <c r="R13" s="147"/>
      <c r="S13" s="159">
        <v>72</v>
      </c>
      <c r="T13" s="206">
        <f t="shared" si="2"/>
        <v>7.36</v>
      </c>
      <c r="U13" s="206">
        <f t="shared" si="3"/>
        <v>0</v>
      </c>
      <c r="W13" s="206">
        <f t="shared" si="4"/>
        <v>1.9999999999999574E-2</v>
      </c>
    </row>
    <row r="14" spans="1:23" s="207" customFormat="1" ht="21.75" customHeight="1">
      <c r="A14" s="203">
        <v>56</v>
      </c>
      <c r="B14" s="204"/>
      <c r="C14" s="205" t="s">
        <v>327</v>
      </c>
      <c r="D14" s="148">
        <v>17.25</v>
      </c>
      <c r="E14" s="148">
        <f t="shared" si="1"/>
        <v>1.3500000000000014</v>
      </c>
      <c r="F14" s="148">
        <v>0</v>
      </c>
      <c r="G14" s="148"/>
      <c r="H14" s="148"/>
      <c r="I14" s="149">
        <f>IF(ISNA(VLOOKUP($A14,[3]Report!$E$5:$I$250,5,FALSE)),"0",VLOOKUP($A14,[3]Report!$E$5:$I$250,5,FALSE))</f>
        <v>18.600000000000001</v>
      </c>
      <c r="J14" s="148">
        <v>11.47</v>
      </c>
      <c r="K14" s="148">
        <f t="shared" si="5"/>
        <v>0.58000000000000007</v>
      </c>
      <c r="L14" s="148">
        <v>0</v>
      </c>
      <c r="M14" s="148"/>
      <c r="N14" s="148"/>
      <c r="O14" s="149">
        <f>IF(ISNA(VLOOKUP($S14,[3]Report!$E$5:$I$250,5,FALSE)),"0",VLOOKUP($S14,[3]Report!$E$5:$I$250,5,FALSE)*-1)</f>
        <v>12.05</v>
      </c>
      <c r="P14" s="148">
        <f t="shared" si="0"/>
        <v>6.5500000000000007</v>
      </c>
      <c r="Q14" s="148">
        <v>5.7799999999999994</v>
      </c>
      <c r="R14" s="147"/>
      <c r="S14" s="159">
        <v>73</v>
      </c>
      <c r="T14" s="206">
        <f t="shared" si="2"/>
        <v>18.600000000000001</v>
      </c>
      <c r="U14" s="206">
        <f t="shared" si="3"/>
        <v>0</v>
      </c>
      <c r="W14" s="206">
        <f t="shared" si="4"/>
        <v>0.58000000000000007</v>
      </c>
    </row>
    <row r="15" spans="1:23" s="207" customFormat="1" ht="21.75" customHeight="1">
      <c r="A15" s="203">
        <v>57</v>
      </c>
      <c r="B15" s="204"/>
      <c r="C15" s="205" t="s">
        <v>314</v>
      </c>
      <c r="D15" s="148">
        <v>51.37</v>
      </c>
      <c r="E15" s="148">
        <f t="shared" si="1"/>
        <v>6.3699999999999974</v>
      </c>
      <c r="F15" s="148">
        <v>0</v>
      </c>
      <c r="G15" s="148"/>
      <c r="H15" s="148"/>
      <c r="I15" s="149">
        <f>IF(ISNA(VLOOKUP($A15,[3]Report!$E$5:$I$250,5,FALSE)),"0",VLOOKUP($A15,[3]Report!$E$5:$I$250,5,FALSE))</f>
        <v>57.739999999999995</v>
      </c>
      <c r="J15" s="148">
        <v>32.57</v>
      </c>
      <c r="K15" s="148">
        <f t="shared" si="5"/>
        <v>2.0599999999999952</v>
      </c>
      <c r="L15" s="148">
        <v>0</v>
      </c>
      <c r="M15" s="148"/>
      <c r="N15" s="148"/>
      <c r="O15" s="149">
        <f>IF(ISNA(VLOOKUP($S15,[3]Report!$E$5:$I$250,5,FALSE)),"0",VLOOKUP($S15,[3]Report!$E$5:$I$250,5,FALSE)*-1)</f>
        <v>34.629999999999995</v>
      </c>
      <c r="P15" s="148">
        <f t="shared" si="0"/>
        <v>23.11</v>
      </c>
      <c r="Q15" s="148">
        <v>18.799999999999997</v>
      </c>
      <c r="R15" s="147"/>
      <c r="S15" s="159">
        <v>74</v>
      </c>
      <c r="T15" s="206">
        <f t="shared" si="2"/>
        <v>57.739999999999995</v>
      </c>
      <c r="U15" s="206">
        <f t="shared" si="3"/>
        <v>0</v>
      </c>
      <c r="W15" s="206">
        <f t="shared" si="4"/>
        <v>2.0599999999999952</v>
      </c>
    </row>
    <row r="16" spans="1:23" s="207" customFormat="1" ht="21.75" customHeight="1">
      <c r="A16" s="203">
        <v>58</v>
      </c>
      <c r="B16" s="204"/>
      <c r="C16" s="205" t="s">
        <v>326</v>
      </c>
      <c r="D16" s="148">
        <v>2.6</v>
      </c>
      <c r="E16" s="148">
        <f t="shared" si="1"/>
        <v>0.16999999999999993</v>
      </c>
      <c r="F16" s="148">
        <v>0</v>
      </c>
      <c r="G16" s="148"/>
      <c r="H16" s="148"/>
      <c r="I16" s="149">
        <f>IF(ISNA(VLOOKUP($A16,[3]Report!$E$5:$I$250,5,FALSE)),"0",VLOOKUP($A16,[3]Report!$E$5:$I$250,5,FALSE))</f>
        <v>2.77</v>
      </c>
      <c r="J16" s="148">
        <v>1.71</v>
      </c>
      <c r="K16" s="148">
        <f t="shared" si="5"/>
        <v>6.0000000000000053E-2</v>
      </c>
      <c r="L16" s="148">
        <v>0</v>
      </c>
      <c r="M16" s="148"/>
      <c r="N16" s="148"/>
      <c r="O16" s="149">
        <f>IF(ISNA(VLOOKUP($S16,[3]Report!$E$5:$I$250,5,FALSE)),"0",VLOOKUP($S16,[3]Report!$E$5:$I$250,5,FALSE)*-1)</f>
        <v>1.77</v>
      </c>
      <c r="P16" s="148">
        <f t="shared" si="0"/>
        <v>1</v>
      </c>
      <c r="Q16" s="148">
        <v>0.89000000000000012</v>
      </c>
      <c r="R16" s="147"/>
      <c r="S16" s="156">
        <v>75</v>
      </c>
      <c r="T16" s="206">
        <f t="shared" si="2"/>
        <v>2.77</v>
      </c>
      <c r="U16" s="206">
        <f t="shared" si="3"/>
        <v>0</v>
      </c>
      <c r="W16" s="206">
        <f t="shared" si="4"/>
        <v>6.0000000000000053E-2</v>
      </c>
    </row>
    <row r="17" spans="1:23" s="207" customFormat="1" ht="21.75" customHeight="1">
      <c r="A17" s="203">
        <v>59</v>
      </c>
      <c r="B17" s="204"/>
      <c r="C17" s="205" t="s">
        <v>325</v>
      </c>
      <c r="D17" s="148">
        <v>185.56</v>
      </c>
      <c r="E17" s="148">
        <f t="shared" si="1"/>
        <v>14.550000000000011</v>
      </c>
      <c r="F17" s="148">
        <v>0</v>
      </c>
      <c r="G17" s="148"/>
      <c r="H17" s="208"/>
      <c r="I17" s="149">
        <f>IF(ISNA(VLOOKUP($A17,[3]Report!$E$5:$I$250,5,FALSE)),"0",VLOOKUP($A17,[3]Report!$E$5:$I$250,5,FALSE))</f>
        <v>200.11</v>
      </c>
      <c r="J17" s="148">
        <v>145.43</v>
      </c>
      <c r="K17" s="148">
        <f t="shared" si="5"/>
        <v>12.719999999999999</v>
      </c>
      <c r="L17" s="148">
        <v>0</v>
      </c>
      <c r="M17" s="208"/>
      <c r="N17" s="148"/>
      <c r="O17" s="149">
        <f>IF(ISNA(VLOOKUP($S17,[3]Report!$E$5:$I$250,5,FALSE)),"0",VLOOKUP($S17,[3]Report!$E$5:$I$250,5,FALSE)*-1)</f>
        <v>158.15</v>
      </c>
      <c r="P17" s="148">
        <f t="shared" si="0"/>
        <v>41.960000000000008</v>
      </c>
      <c r="Q17" s="148">
        <v>40.129999999999995</v>
      </c>
      <c r="R17" s="147"/>
      <c r="S17" s="156">
        <v>76</v>
      </c>
      <c r="T17" s="206">
        <f t="shared" si="2"/>
        <v>200.11</v>
      </c>
      <c r="U17" s="206">
        <f t="shared" si="3"/>
        <v>0</v>
      </c>
      <c r="W17" s="206">
        <f t="shared" si="4"/>
        <v>12.719999999999999</v>
      </c>
    </row>
    <row r="18" spans="1:23" s="207" customFormat="1" ht="21.75" customHeight="1">
      <c r="A18" s="203"/>
      <c r="B18" s="204"/>
      <c r="C18" s="213" t="s">
        <v>319</v>
      </c>
      <c r="D18" s="142">
        <f>SUM(D7:D17)</f>
        <v>20362.090000000004</v>
      </c>
      <c r="E18" s="142">
        <f>SUM(E7:E17)</f>
        <v>1778.9799999999982</v>
      </c>
      <c r="F18" s="142">
        <f>SUM(F7:F17)</f>
        <v>15.46</v>
      </c>
      <c r="G18" s="142">
        <f>SUM(G7:G17)</f>
        <v>0</v>
      </c>
      <c r="H18" s="142">
        <f>SUM(H7:H17)</f>
        <v>0</v>
      </c>
      <c r="I18" s="142">
        <f>I7+I9+I8+I10+I11+I12+I13+I14+I15+I16+I17</f>
        <v>22125.61</v>
      </c>
      <c r="J18" s="142">
        <f t="shared" ref="J18:O18" si="6">SUM(J7:J17)</f>
        <v>10374.209999999999</v>
      </c>
      <c r="K18" s="142">
        <f t="shared" si="6"/>
        <v>837.46999999999991</v>
      </c>
      <c r="L18" s="142">
        <f t="shared" si="6"/>
        <v>12.68</v>
      </c>
      <c r="M18" s="142">
        <f t="shared" si="6"/>
        <v>0</v>
      </c>
      <c r="N18" s="142">
        <f t="shared" si="6"/>
        <v>0</v>
      </c>
      <c r="O18" s="142">
        <f t="shared" si="6"/>
        <v>11198.999999999998</v>
      </c>
      <c r="P18" s="142">
        <f>P7+P9+P8+P10+P11+P12+P13+P14+P15+P16+P17</f>
        <v>10926.609999999999</v>
      </c>
      <c r="Q18" s="142">
        <v>9987.8799999999974</v>
      </c>
      <c r="R18" s="141"/>
      <c r="S18" s="214"/>
      <c r="T18" s="206">
        <f t="shared" si="2"/>
        <v>22125.610000000004</v>
      </c>
      <c r="U18" s="206">
        <f t="shared" si="3"/>
        <v>0</v>
      </c>
    </row>
    <row r="19" spans="1:23" s="207" customFormat="1" ht="21.75" customHeight="1">
      <c r="A19" s="203"/>
      <c r="B19" s="211" t="s">
        <v>324</v>
      </c>
      <c r="C19" s="215" t="s">
        <v>323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1"/>
      <c r="S19" s="214"/>
      <c r="T19" s="206">
        <f t="shared" si="2"/>
        <v>0</v>
      </c>
      <c r="U19" s="206">
        <f t="shared" si="3"/>
        <v>0</v>
      </c>
    </row>
    <row r="20" spans="1:23" s="212" customFormat="1" ht="21.75" customHeight="1">
      <c r="A20" s="210">
        <v>61</v>
      </c>
      <c r="C20" s="216" t="s">
        <v>322</v>
      </c>
      <c r="D20" s="148">
        <v>70.8</v>
      </c>
      <c r="E20" s="148">
        <f>+I20+H20+F20-G20-D20</f>
        <v>0</v>
      </c>
      <c r="F20" s="142">
        <v>0</v>
      </c>
      <c r="G20" s="148"/>
      <c r="H20" s="142"/>
      <c r="I20" s="148">
        <f>IF(ISNA(VLOOKUP($A20,[3]Report!$E$5:$I$250,5,FALSE)),"0",VLOOKUP($A20,[3]Report!$E$5:$I$250,5,FALSE))</f>
        <v>70.8</v>
      </c>
      <c r="J20" s="151">
        <v>49.11</v>
      </c>
      <c r="K20" s="148">
        <f>O20-J20+L20</f>
        <v>4.6600000000000037</v>
      </c>
      <c r="L20" s="142"/>
      <c r="M20" s="142"/>
      <c r="N20" s="142"/>
      <c r="O20" s="148">
        <f>IF(ISNA(VLOOKUP($S20,[3]Report!$E$5:$I$250,5,FALSE)),"0",VLOOKUP($S20,[3]Report!$E$5:$I$250,5,FALSE)*-1)</f>
        <v>53.77</v>
      </c>
      <c r="P20" s="148">
        <f>+I20-O20</f>
        <v>17.029999999999994</v>
      </c>
      <c r="Q20" s="148">
        <v>21.689999999999998</v>
      </c>
      <c r="R20" s="147">
        <f>+Q20/10000000</f>
        <v>2.1689999999999999E-6</v>
      </c>
      <c r="S20" s="217">
        <v>77</v>
      </c>
      <c r="T20" s="206">
        <f t="shared" si="2"/>
        <v>70.8</v>
      </c>
      <c r="U20" s="206">
        <f t="shared" si="3"/>
        <v>0</v>
      </c>
    </row>
    <row r="21" spans="1:23" s="218" customFormat="1" ht="21.75" customHeight="1">
      <c r="A21" s="210"/>
      <c r="B21" s="211"/>
      <c r="C21" s="213" t="s">
        <v>319</v>
      </c>
      <c r="D21" s="142">
        <f>SUM(D20)</f>
        <v>70.8</v>
      </c>
      <c r="E21" s="142">
        <f t="shared" ref="E21:P21" si="7">SUM(E20)</f>
        <v>0</v>
      </c>
      <c r="F21" s="142">
        <f t="shared" si="7"/>
        <v>0</v>
      </c>
      <c r="G21" s="142">
        <f>SUM(G20)</f>
        <v>0</v>
      </c>
      <c r="H21" s="142">
        <v>0</v>
      </c>
      <c r="I21" s="142">
        <f t="shared" si="7"/>
        <v>70.8</v>
      </c>
      <c r="J21" s="142">
        <f t="shared" si="7"/>
        <v>49.11</v>
      </c>
      <c r="K21" s="142">
        <f t="shared" si="7"/>
        <v>4.6600000000000037</v>
      </c>
      <c r="L21" s="142">
        <f t="shared" si="7"/>
        <v>0</v>
      </c>
      <c r="M21" s="142">
        <v>0</v>
      </c>
      <c r="N21" s="142">
        <f>+SUM(N20)</f>
        <v>0</v>
      </c>
      <c r="O21" s="142">
        <f t="shared" si="7"/>
        <v>53.77</v>
      </c>
      <c r="P21" s="142">
        <f t="shared" si="7"/>
        <v>17.029999999999994</v>
      </c>
      <c r="Q21" s="142">
        <v>21.689999999999998</v>
      </c>
      <c r="R21" s="141"/>
      <c r="S21" s="217"/>
      <c r="T21" s="206">
        <f t="shared" si="2"/>
        <v>70.8</v>
      </c>
      <c r="U21" s="206">
        <f t="shared" si="3"/>
        <v>0</v>
      </c>
    </row>
    <row r="22" spans="1:23" s="212" customFormat="1" ht="21.75" customHeight="1">
      <c r="A22" s="210">
        <v>81</v>
      </c>
      <c r="B22" s="211" t="s">
        <v>321</v>
      </c>
      <c r="C22" s="215" t="s">
        <v>320</v>
      </c>
      <c r="D22" s="148">
        <v>1206.97</v>
      </c>
      <c r="E22" s="148">
        <f>+I22+H22+F22-G22-D22</f>
        <v>1747.7500000000002</v>
      </c>
      <c r="F22" s="148">
        <v>1825.94</v>
      </c>
      <c r="G22" s="148"/>
      <c r="H22" s="142"/>
      <c r="I22" s="148">
        <f>IF(ISNA(VLOOKUP($A22,[3]Report!$E$5:$I$250,5,FALSE)),"0",VLOOKUP($A22,[3]Report!$E$5:$I$250,5,FALSE))</f>
        <v>1128.78</v>
      </c>
      <c r="J22" s="148">
        <v>0</v>
      </c>
      <c r="K22" s="148">
        <v>0</v>
      </c>
      <c r="L22" s="142"/>
      <c r="M22" s="142"/>
      <c r="N22" s="142"/>
      <c r="O22" s="149">
        <v>0</v>
      </c>
      <c r="P22" s="148">
        <f>I22</f>
        <v>1128.78</v>
      </c>
      <c r="Q22" s="148">
        <v>1206.97</v>
      </c>
      <c r="R22" s="147">
        <f>+Q22/10000000</f>
        <v>1.20697E-4</v>
      </c>
      <c r="S22" s="217">
        <f>135497016729-135436760189</f>
        <v>60256540</v>
      </c>
      <c r="T22" s="206">
        <f t="shared" si="2"/>
        <v>1128.7800000000002</v>
      </c>
      <c r="U22" s="206">
        <f t="shared" si="3"/>
        <v>0</v>
      </c>
    </row>
    <row r="23" spans="1:23" s="218" customFormat="1" ht="21.75" customHeight="1">
      <c r="A23" s="210"/>
      <c r="B23" s="211"/>
      <c r="C23" s="213" t="s">
        <v>319</v>
      </c>
      <c r="D23" s="142">
        <f>SUM(D22)</f>
        <v>1206.97</v>
      </c>
      <c r="E23" s="142">
        <f>SUM(E22)</f>
        <v>1747.7500000000002</v>
      </c>
      <c r="F23" s="142">
        <f>SUM(F22)</f>
        <v>1825.94</v>
      </c>
      <c r="G23" s="142">
        <f>SUM(G22)</f>
        <v>0</v>
      </c>
      <c r="H23" s="142">
        <v>0</v>
      </c>
      <c r="I23" s="142">
        <f t="shared" ref="I23:P23" si="8">SUM(I22)</f>
        <v>1128.78</v>
      </c>
      <c r="J23" s="142">
        <f t="shared" si="8"/>
        <v>0</v>
      </c>
      <c r="K23" s="142">
        <f t="shared" si="8"/>
        <v>0</v>
      </c>
      <c r="L23" s="142">
        <f t="shared" si="8"/>
        <v>0</v>
      </c>
      <c r="M23" s="142">
        <f t="shared" si="8"/>
        <v>0</v>
      </c>
      <c r="N23" s="142">
        <f t="shared" si="8"/>
        <v>0</v>
      </c>
      <c r="O23" s="142">
        <f t="shared" si="8"/>
        <v>0</v>
      </c>
      <c r="P23" s="142">
        <f t="shared" si="8"/>
        <v>1128.78</v>
      </c>
      <c r="Q23" s="142">
        <v>1206.97</v>
      </c>
      <c r="R23" s="141"/>
      <c r="S23" s="217">
        <f>S22/2</f>
        <v>30128270</v>
      </c>
      <c r="T23" s="206">
        <f t="shared" si="2"/>
        <v>1128.7800000000002</v>
      </c>
      <c r="U23" s="206">
        <f t="shared" si="3"/>
        <v>0</v>
      </c>
    </row>
    <row r="24" spans="1:23" s="212" customFormat="1" ht="21.75" customHeight="1">
      <c r="A24" s="210"/>
      <c r="B24" s="211" t="s">
        <v>318</v>
      </c>
      <c r="C24" s="213" t="s">
        <v>317</v>
      </c>
      <c r="D24" s="142">
        <f>+D18+D21+D23</f>
        <v>21639.860000000004</v>
      </c>
      <c r="E24" s="142">
        <f t="shared" ref="E24:P24" si="9">+E18+E21+E23</f>
        <v>3526.7299999999987</v>
      </c>
      <c r="F24" s="142">
        <f t="shared" si="9"/>
        <v>1841.4</v>
      </c>
      <c r="G24" s="142">
        <f t="shared" si="9"/>
        <v>0</v>
      </c>
      <c r="H24" s="142">
        <f t="shared" si="9"/>
        <v>0</v>
      </c>
      <c r="I24" s="142">
        <f t="shared" si="9"/>
        <v>23325.19</v>
      </c>
      <c r="J24" s="142">
        <f t="shared" si="9"/>
        <v>10423.32</v>
      </c>
      <c r="K24" s="142">
        <f>+K18+K21+K23</f>
        <v>842.12999999999988</v>
      </c>
      <c r="L24" s="142">
        <f t="shared" si="9"/>
        <v>12.68</v>
      </c>
      <c r="M24" s="142">
        <f t="shared" si="9"/>
        <v>0</v>
      </c>
      <c r="N24" s="142">
        <f t="shared" si="9"/>
        <v>0</v>
      </c>
      <c r="O24" s="142">
        <f t="shared" si="9"/>
        <v>11252.769999999999</v>
      </c>
      <c r="P24" s="142">
        <f t="shared" si="9"/>
        <v>12072.42</v>
      </c>
      <c r="Q24" s="142">
        <v>11216.539999999997</v>
      </c>
      <c r="R24" s="141"/>
      <c r="S24" s="217"/>
    </row>
    <row r="25" spans="1:23" s="222" customFormat="1" ht="21.75" customHeight="1">
      <c r="A25" s="219"/>
      <c r="B25" s="204"/>
      <c r="C25" s="220" t="s">
        <v>316</v>
      </c>
      <c r="D25" s="134">
        <v>20102.88</v>
      </c>
      <c r="E25" s="135">
        <v>3034.86</v>
      </c>
      <c r="F25" s="135">
        <v>1497.88</v>
      </c>
      <c r="G25" s="135">
        <v>0</v>
      </c>
      <c r="H25" s="135">
        <v>0</v>
      </c>
      <c r="I25" s="135">
        <v>21639.86</v>
      </c>
      <c r="J25" s="134">
        <v>9625.61</v>
      </c>
      <c r="K25" s="135">
        <v>801.9</v>
      </c>
      <c r="L25" s="135">
        <v>4.1900000000000004</v>
      </c>
      <c r="M25" s="135">
        <v>0</v>
      </c>
      <c r="N25" s="135">
        <v>0</v>
      </c>
      <c r="O25" s="135">
        <v>10423.32</v>
      </c>
      <c r="P25" s="135">
        <v>11216.54</v>
      </c>
      <c r="Q25" s="134">
        <v>10477.27</v>
      </c>
      <c r="R25" s="133"/>
      <c r="S25" s="221"/>
      <c r="T25" s="206"/>
    </row>
    <row r="26" spans="1:23" s="224" customFormat="1" ht="21.75" hidden="1" customHeight="1">
      <c r="A26" s="223"/>
      <c r="B26" s="344" t="s">
        <v>385</v>
      </c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S26" s="225"/>
      <c r="T26" s="196"/>
    </row>
    <row r="27" spans="1:23">
      <c r="A27" s="226"/>
      <c r="F27" s="229"/>
      <c r="G27" s="229"/>
      <c r="H27" s="229"/>
      <c r="I27" s="196"/>
      <c r="J27" s="196"/>
      <c r="K27" s="230"/>
      <c r="S27" s="191"/>
      <c r="T27" s="196"/>
    </row>
    <row r="28" spans="1:23">
      <c r="A28" s="226"/>
      <c r="D28" s="231">
        <f>D24-D23</f>
        <v>20432.890000000003</v>
      </c>
      <c r="E28" s="236">
        <f>E24-E23-F18</f>
        <v>1763.5199999999984</v>
      </c>
      <c r="I28" s="196"/>
      <c r="J28" s="231">
        <f>J18+J21</f>
        <v>10423.32</v>
      </c>
      <c r="K28" s="231">
        <f>K24-L24</f>
        <v>829.44999999999993</v>
      </c>
      <c r="L28" s="196"/>
      <c r="P28" s="119"/>
      <c r="S28" s="191"/>
    </row>
    <row r="29" spans="1:23">
      <c r="A29" s="226"/>
      <c r="D29" s="232"/>
      <c r="F29" s="229"/>
      <c r="G29" s="229"/>
      <c r="H29" s="229"/>
      <c r="J29" s="231"/>
      <c r="K29" s="233"/>
      <c r="L29" s="196"/>
      <c r="N29" s="234"/>
      <c r="O29" s="232"/>
      <c r="P29" s="196"/>
      <c r="S29" s="191"/>
    </row>
    <row r="30" spans="1:23">
      <c r="A30" s="226"/>
      <c r="D30" s="232"/>
      <c r="E30" s="235"/>
      <c r="F30" s="236"/>
      <c r="G30" s="236"/>
      <c r="H30" s="236"/>
      <c r="I30" s="229"/>
      <c r="K30" s="233"/>
      <c r="L30" s="196"/>
      <c r="N30" s="234"/>
      <c r="O30" s="237"/>
      <c r="S30" s="191"/>
    </row>
    <row r="31" spans="1:23">
      <c r="D31" s="196"/>
      <c r="F31" s="229"/>
      <c r="K31" s="233"/>
      <c r="L31" s="196"/>
    </row>
    <row r="32" spans="1:23">
      <c r="A32" s="226"/>
      <c r="D32" s="238"/>
      <c r="E32" s="239"/>
      <c r="F32" s="229"/>
      <c r="G32" s="191"/>
      <c r="H32" s="191"/>
      <c r="I32" s="232"/>
      <c r="J32" s="232"/>
      <c r="K32" s="233"/>
      <c r="L32" s="196"/>
      <c r="P32" s="196"/>
      <c r="S32" s="191"/>
    </row>
    <row r="33" spans="1:19">
      <c r="F33" s="229"/>
      <c r="G33" s="191"/>
      <c r="H33" s="191"/>
      <c r="I33" s="232"/>
      <c r="J33" s="232"/>
      <c r="K33" s="233"/>
      <c r="L33" s="232"/>
      <c r="P33" s="119"/>
    </row>
    <row r="34" spans="1:19">
      <c r="A34" s="226"/>
      <c r="E34" s="239"/>
      <c r="G34" s="191"/>
      <c r="H34" s="191"/>
      <c r="I34" s="232"/>
      <c r="J34" s="232"/>
      <c r="S34" s="191"/>
    </row>
    <row r="35" spans="1:19">
      <c r="G35" s="191"/>
      <c r="H35" s="191"/>
      <c r="I35" s="232"/>
      <c r="J35" s="232"/>
      <c r="K35" s="240"/>
    </row>
    <row r="36" spans="1:19">
      <c r="G36" s="191"/>
      <c r="H36" s="191"/>
      <c r="I36" s="232"/>
      <c r="J36" s="232"/>
      <c r="K36" s="238"/>
    </row>
    <row r="37" spans="1:19">
      <c r="A37" s="226"/>
      <c r="G37" s="191"/>
      <c r="H37" s="191"/>
      <c r="I37" s="232"/>
      <c r="J37" s="232"/>
      <c r="S37" s="191"/>
    </row>
    <row r="38" spans="1:19">
      <c r="G38" s="191"/>
      <c r="H38" s="191"/>
      <c r="I38" s="232"/>
      <c r="J38" s="196"/>
    </row>
    <row r="39" spans="1:19">
      <c r="G39" s="191"/>
      <c r="H39" s="191"/>
      <c r="I39" s="232"/>
      <c r="J39" s="196"/>
    </row>
    <row r="40" spans="1:19">
      <c r="G40" s="191"/>
      <c r="H40" s="191"/>
      <c r="I40" s="232"/>
      <c r="J40" s="237"/>
    </row>
    <row r="41" spans="1:19">
      <c r="G41" s="191"/>
      <c r="H41" s="191"/>
      <c r="I41" s="232"/>
      <c r="J41" s="196"/>
    </row>
    <row r="42" spans="1:19">
      <c r="G42" s="191"/>
      <c r="H42" s="191"/>
      <c r="I42" s="232"/>
      <c r="J42" s="196"/>
    </row>
    <row r="43" spans="1:19">
      <c r="G43" s="191"/>
      <c r="H43" s="191"/>
      <c r="I43" s="232"/>
      <c r="J43" s="196"/>
    </row>
    <row r="44" spans="1:19">
      <c r="G44" s="191"/>
      <c r="H44" s="191"/>
      <c r="I44" s="232"/>
      <c r="J44" s="232"/>
    </row>
    <row r="45" spans="1:19">
      <c r="G45" s="241"/>
      <c r="H45" s="241"/>
      <c r="I45" s="242"/>
      <c r="J45" s="242"/>
    </row>
    <row r="46" spans="1:19">
      <c r="G46" s="191"/>
      <c r="H46" s="191"/>
      <c r="I46" s="232"/>
      <c r="J46" s="237"/>
    </row>
    <row r="47" spans="1:19">
      <c r="G47" s="191"/>
      <c r="H47" s="191"/>
      <c r="I47" s="232"/>
    </row>
    <row r="48" spans="1:19">
      <c r="G48" s="191"/>
      <c r="H48" s="191"/>
      <c r="I48" s="232"/>
      <c r="J48" s="232"/>
    </row>
    <row r="49" spans="7:9">
      <c r="G49" s="191"/>
      <c r="H49" s="191"/>
      <c r="I49" s="232"/>
    </row>
  </sheetData>
  <mergeCells count="7">
    <mergeCell ref="B26:Q26"/>
    <mergeCell ref="B2:Q2"/>
    <mergeCell ref="B3:B4"/>
    <mergeCell ref="C3:C4"/>
    <mergeCell ref="D3:I3"/>
    <mergeCell ref="J3:O3"/>
    <mergeCell ref="P3:Q3"/>
  </mergeCells>
  <dataValidations disablePrompts="1" count="1">
    <dataValidation allowBlank="1" sqref="G32:H49 JC32:JD49 SY32:SZ49 ACU32:ACV49 AMQ32:AMR49 AWM32:AWN49 BGI32:BGJ49 BQE32:BQF49 CAA32:CAB49 CJW32:CJX49 CTS32:CTT49 DDO32:DDP49 DNK32:DNL49 DXG32:DXH49 EHC32:EHD49 EQY32:EQZ49 FAU32:FAV49 FKQ32:FKR49 FUM32:FUN49 GEI32:GEJ49 GOE32:GOF49 GYA32:GYB49 HHW32:HHX49 HRS32:HRT49 IBO32:IBP49 ILK32:ILL49 IVG32:IVH49 JFC32:JFD49 JOY32:JOZ49 JYU32:JYV49 KIQ32:KIR49 KSM32:KSN49 LCI32:LCJ49 LME32:LMF49 LWA32:LWB49 MFW32:MFX49 MPS32:MPT49 MZO32:MZP49 NJK32:NJL49 NTG32:NTH49 ODC32:ODD49 OMY32:OMZ49 OWU32:OWV49 PGQ32:PGR49 PQM32:PQN49 QAI32:QAJ49 QKE32:QKF49 QUA32:QUB49 RDW32:RDX49 RNS32:RNT49 RXO32:RXP49 SHK32:SHL49 SRG32:SRH49 TBC32:TBD49 TKY32:TKZ49 TUU32:TUV49 UEQ32:UER49 UOM32:UON49 UYI32:UYJ49 VIE32:VIF49 VSA32:VSB49 WBW32:WBX49 WLS32:WLT49 WVO32:WVP49 G65568:H65585 JC65568:JD65585 SY65568:SZ65585 ACU65568:ACV65585 AMQ65568:AMR65585 AWM65568:AWN65585 BGI65568:BGJ65585 BQE65568:BQF65585 CAA65568:CAB65585 CJW65568:CJX65585 CTS65568:CTT65585 DDO65568:DDP65585 DNK65568:DNL65585 DXG65568:DXH65585 EHC65568:EHD65585 EQY65568:EQZ65585 FAU65568:FAV65585 FKQ65568:FKR65585 FUM65568:FUN65585 GEI65568:GEJ65585 GOE65568:GOF65585 GYA65568:GYB65585 HHW65568:HHX65585 HRS65568:HRT65585 IBO65568:IBP65585 ILK65568:ILL65585 IVG65568:IVH65585 JFC65568:JFD65585 JOY65568:JOZ65585 JYU65568:JYV65585 KIQ65568:KIR65585 KSM65568:KSN65585 LCI65568:LCJ65585 LME65568:LMF65585 LWA65568:LWB65585 MFW65568:MFX65585 MPS65568:MPT65585 MZO65568:MZP65585 NJK65568:NJL65585 NTG65568:NTH65585 ODC65568:ODD65585 OMY65568:OMZ65585 OWU65568:OWV65585 PGQ65568:PGR65585 PQM65568:PQN65585 QAI65568:QAJ65585 QKE65568:QKF65585 QUA65568:QUB65585 RDW65568:RDX65585 RNS65568:RNT65585 RXO65568:RXP65585 SHK65568:SHL65585 SRG65568:SRH65585 TBC65568:TBD65585 TKY65568:TKZ65585 TUU65568:TUV65585 UEQ65568:UER65585 UOM65568:UON65585 UYI65568:UYJ65585 VIE65568:VIF65585 VSA65568:VSB65585 WBW65568:WBX65585 WLS65568:WLT65585 WVO65568:WVP65585 G131104:H131121 JC131104:JD131121 SY131104:SZ131121 ACU131104:ACV131121 AMQ131104:AMR131121 AWM131104:AWN131121 BGI131104:BGJ131121 BQE131104:BQF131121 CAA131104:CAB131121 CJW131104:CJX131121 CTS131104:CTT131121 DDO131104:DDP131121 DNK131104:DNL131121 DXG131104:DXH131121 EHC131104:EHD131121 EQY131104:EQZ131121 FAU131104:FAV131121 FKQ131104:FKR131121 FUM131104:FUN131121 GEI131104:GEJ131121 GOE131104:GOF131121 GYA131104:GYB131121 HHW131104:HHX131121 HRS131104:HRT131121 IBO131104:IBP131121 ILK131104:ILL131121 IVG131104:IVH131121 JFC131104:JFD131121 JOY131104:JOZ131121 JYU131104:JYV131121 KIQ131104:KIR131121 KSM131104:KSN131121 LCI131104:LCJ131121 LME131104:LMF131121 LWA131104:LWB131121 MFW131104:MFX131121 MPS131104:MPT131121 MZO131104:MZP131121 NJK131104:NJL131121 NTG131104:NTH131121 ODC131104:ODD131121 OMY131104:OMZ131121 OWU131104:OWV131121 PGQ131104:PGR131121 PQM131104:PQN131121 QAI131104:QAJ131121 QKE131104:QKF131121 QUA131104:QUB131121 RDW131104:RDX131121 RNS131104:RNT131121 RXO131104:RXP131121 SHK131104:SHL131121 SRG131104:SRH131121 TBC131104:TBD131121 TKY131104:TKZ131121 TUU131104:TUV131121 UEQ131104:UER131121 UOM131104:UON131121 UYI131104:UYJ131121 VIE131104:VIF131121 VSA131104:VSB131121 WBW131104:WBX131121 WLS131104:WLT131121 WVO131104:WVP131121 G196640:H196657 JC196640:JD196657 SY196640:SZ196657 ACU196640:ACV196657 AMQ196640:AMR196657 AWM196640:AWN196657 BGI196640:BGJ196657 BQE196640:BQF196657 CAA196640:CAB196657 CJW196640:CJX196657 CTS196640:CTT196657 DDO196640:DDP196657 DNK196640:DNL196657 DXG196640:DXH196657 EHC196640:EHD196657 EQY196640:EQZ196657 FAU196640:FAV196657 FKQ196640:FKR196657 FUM196640:FUN196657 GEI196640:GEJ196657 GOE196640:GOF196657 GYA196640:GYB196657 HHW196640:HHX196657 HRS196640:HRT196657 IBO196640:IBP196657 ILK196640:ILL196657 IVG196640:IVH196657 JFC196640:JFD196657 JOY196640:JOZ196657 JYU196640:JYV196657 KIQ196640:KIR196657 KSM196640:KSN196657 LCI196640:LCJ196657 LME196640:LMF196657 LWA196640:LWB196657 MFW196640:MFX196657 MPS196640:MPT196657 MZO196640:MZP196657 NJK196640:NJL196657 NTG196640:NTH196657 ODC196640:ODD196657 OMY196640:OMZ196657 OWU196640:OWV196657 PGQ196640:PGR196657 PQM196640:PQN196657 QAI196640:QAJ196657 QKE196640:QKF196657 QUA196640:QUB196657 RDW196640:RDX196657 RNS196640:RNT196657 RXO196640:RXP196657 SHK196640:SHL196657 SRG196640:SRH196657 TBC196640:TBD196657 TKY196640:TKZ196657 TUU196640:TUV196657 UEQ196640:UER196657 UOM196640:UON196657 UYI196640:UYJ196657 VIE196640:VIF196657 VSA196640:VSB196657 WBW196640:WBX196657 WLS196640:WLT196657 WVO196640:WVP196657 G262176:H262193 JC262176:JD262193 SY262176:SZ262193 ACU262176:ACV262193 AMQ262176:AMR262193 AWM262176:AWN262193 BGI262176:BGJ262193 BQE262176:BQF262193 CAA262176:CAB262193 CJW262176:CJX262193 CTS262176:CTT262193 DDO262176:DDP262193 DNK262176:DNL262193 DXG262176:DXH262193 EHC262176:EHD262193 EQY262176:EQZ262193 FAU262176:FAV262193 FKQ262176:FKR262193 FUM262176:FUN262193 GEI262176:GEJ262193 GOE262176:GOF262193 GYA262176:GYB262193 HHW262176:HHX262193 HRS262176:HRT262193 IBO262176:IBP262193 ILK262176:ILL262193 IVG262176:IVH262193 JFC262176:JFD262193 JOY262176:JOZ262193 JYU262176:JYV262193 KIQ262176:KIR262193 KSM262176:KSN262193 LCI262176:LCJ262193 LME262176:LMF262193 LWA262176:LWB262193 MFW262176:MFX262193 MPS262176:MPT262193 MZO262176:MZP262193 NJK262176:NJL262193 NTG262176:NTH262193 ODC262176:ODD262193 OMY262176:OMZ262193 OWU262176:OWV262193 PGQ262176:PGR262193 PQM262176:PQN262193 QAI262176:QAJ262193 QKE262176:QKF262193 QUA262176:QUB262193 RDW262176:RDX262193 RNS262176:RNT262193 RXO262176:RXP262193 SHK262176:SHL262193 SRG262176:SRH262193 TBC262176:TBD262193 TKY262176:TKZ262193 TUU262176:TUV262193 UEQ262176:UER262193 UOM262176:UON262193 UYI262176:UYJ262193 VIE262176:VIF262193 VSA262176:VSB262193 WBW262176:WBX262193 WLS262176:WLT262193 WVO262176:WVP262193 G327712:H327729 JC327712:JD327729 SY327712:SZ327729 ACU327712:ACV327729 AMQ327712:AMR327729 AWM327712:AWN327729 BGI327712:BGJ327729 BQE327712:BQF327729 CAA327712:CAB327729 CJW327712:CJX327729 CTS327712:CTT327729 DDO327712:DDP327729 DNK327712:DNL327729 DXG327712:DXH327729 EHC327712:EHD327729 EQY327712:EQZ327729 FAU327712:FAV327729 FKQ327712:FKR327729 FUM327712:FUN327729 GEI327712:GEJ327729 GOE327712:GOF327729 GYA327712:GYB327729 HHW327712:HHX327729 HRS327712:HRT327729 IBO327712:IBP327729 ILK327712:ILL327729 IVG327712:IVH327729 JFC327712:JFD327729 JOY327712:JOZ327729 JYU327712:JYV327729 KIQ327712:KIR327729 KSM327712:KSN327729 LCI327712:LCJ327729 LME327712:LMF327729 LWA327712:LWB327729 MFW327712:MFX327729 MPS327712:MPT327729 MZO327712:MZP327729 NJK327712:NJL327729 NTG327712:NTH327729 ODC327712:ODD327729 OMY327712:OMZ327729 OWU327712:OWV327729 PGQ327712:PGR327729 PQM327712:PQN327729 QAI327712:QAJ327729 QKE327712:QKF327729 QUA327712:QUB327729 RDW327712:RDX327729 RNS327712:RNT327729 RXO327712:RXP327729 SHK327712:SHL327729 SRG327712:SRH327729 TBC327712:TBD327729 TKY327712:TKZ327729 TUU327712:TUV327729 UEQ327712:UER327729 UOM327712:UON327729 UYI327712:UYJ327729 VIE327712:VIF327729 VSA327712:VSB327729 WBW327712:WBX327729 WLS327712:WLT327729 WVO327712:WVP327729 G393248:H393265 JC393248:JD393265 SY393248:SZ393265 ACU393248:ACV393265 AMQ393248:AMR393265 AWM393248:AWN393265 BGI393248:BGJ393265 BQE393248:BQF393265 CAA393248:CAB393265 CJW393248:CJX393265 CTS393248:CTT393265 DDO393248:DDP393265 DNK393248:DNL393265 DXG393248:DXH393265 EHC393248:EHD393265 EQY393248:EQZ393265 FAU393248:FAV393265 FKQ393248:FKR393265 FUM393248:FUN393265 GEI393248:GEJ393265 GOE393248:GOF393265 GYA393248:GYB393265 HHW393248:HHX393265 HRS393248:HRT393265 IBO393248:IBP393265 ILK393248:ILL393265 IVG393248:IVH393265 JFC393248:JFD393265 JOY393248:JOZ393265 JYU393248:JYV393265 KIQ393248:KIR393265 KSM393248:KSN393265 LCI393248:LCJ393265 LME393248:LMF393265 LWA393248:LWB393265 MFW393248:MFX393265 MPS393248:MPT393265 MZO393248:MZP393265 NJK393248:NJL393265 NTG393248:NTH393265 ODC393248:ODD393265 OMY393248:OMZ393265 OWU393248:OWV393265 PGQ393248:PGR393265 PQM393248:PQN393265 QAI393248:QAJ393265 QKE393248:QKF393265 QUA393248:QUB393265 RDW393248:RDX393265 RNS393248:RNT393265 RXO393248:RXP393265 SHK393248:SHL393265 SRG393248:SRH393265 TBC393248:TBD393265 TKY393248:TKZ393265 TUU393248:TUV393265 UEQ393248:UER393265 UOM393248:UON393265 UYI393248:UYJ393265 VIE393248:VIF393265 VSA393248:VSB393265 WBW393248:WBX393265 WLS393248:WLT393265 WVO393248:WVP393265 G458784:H458801 JC458784:JD458801 SY458784:SZ458801 ACU458784:ACV458801 AMQ458784:AMR458801 AWM458784:AWN458801 BGI458784:BGJ458801 BQE458784:BQF458801 CAA458784:CAB458801 CJW458784:CJX458801 CTS458784:CTT458801 DDO458784:DDP458801 DNK458784:DNL458801 DXG458784:DXH458801 EHC458784:EHD458801 EQY458784:EQZ458801 FAU458784:FAV458801 FKQ458784:FKR458801 FUM458784:FUN458801 GEI458784:GEJ458801 GOE458784:GOF458801 GYA458784:GYB458801 HHW458784:HHX458801 HRS458784:HRT458801 IBO458784:IBP458801 ILK458784:ILL458801 IVG458784:IVH458801 JFC458784:JFD458801 JOY458784:JOZ458801 JYU458784:JYV458801 KIQ458784:KIR458801 KSM458784:KSN458801 LCI458784:LCJ458801 LME458784:LMF458801 LWA458784:LWB458801 MFW458784:MFX458801 MPS458784:MPT458801 MZO458784:MZP458801 NJK458784:NJL458801 NTG458784:NTH458801 ODC458784:ODD458801 OMY458784:OMZ458801 OWU458784:OWV458801 PGQ458784:PGR458801 PQM458784:PQN458801 QAI458784:QAJ458801 QKE458784:QKF458801 QUA458784:QUB458801 RDW458784:RDX458801 RNS458784:RNT458801 RXO458784:RXP458801 SHK458784:SHL458801 SRG458784:SRH458801 TBC458784:TBD458801 TKY458784:TKZ458801 TUU458784:TUV458801 UEQ458784:UER458801 UOM458784:UON458801 UYI458784:UYJ458801 VIE458784:VIF458801 VSA458784:VSB458801 WBW458784:WBX458801 WLS458784:WLT458801 WVO458784:WVP458801 G524320:H524337 JC524320:JD524337 SY524320:SZ524337 ACU524320:ACV524337 AMQ524320:AMR524337 AWM524320:AWN524337 BGI524320:BGJ524337 BQE524320:BQF524337 CAA524320:CAB524337 CJW524320:CJX524337 CTS524320:CTT524337 DDO524320:DDP524337 DNK524320:DNL524337 DXG524320:DXH524337 EHC524320:EHD524337 EQY524320:EQZ524337 FAU524320:FAV524337 FKQ524320:FKR524337 FUM524320:FUN524337 GEI524320:GEJ524337 GOE524320:GOF524337 GYA524320:GYB524337 HHW524320:HHX524337 HRS524320:HRT524337 IBO524320:IBP524337 ILK524320:ILL524337 IVG524320:IVH524337 JFC524320:JFD524337 JOY524320:JOZ524337 JYU524320:JYV524337 KIQ524320:KIR524337 KSM524320:KSN524337 LCI524320:LCJ524337 LME524320:LMF524337 LWA524320:LWB524337 MFW524320:MFX524337 MPS524320:MPT524337 MZO524320:MZP524337 NJK524320:NJL524337 NTG524320:NTH524337 ODC524320:ODD524337 OMY524320:OMZ524337 OWU524320:OWV524337 PGQ524320:PGR524337 PQM524320:PQN524337 QAI524320:QAJ524337 QKE524320:QKF524337 QUA524320:QUB524337 RDW524320:RDX524337 RNS524320:RNT524337 RXO524320:RXP524337 SHK524320:SHL524337 SRG524320:SRH524337 TBC524320:TBD524337 TKY524320:TKZ524337 TUU524320:TUV524337 UEQ524320:UER524337 UOM524320:UON524337 UYI524320:UYJ524337 VIE524320:VIF524337 VSA524320:VSB524337 WBW524320:WBX524337 WLS524320:WLT524337 WVO524320:WVP524337 G589856:H589873 JC589856:JD589873 SY589856:SZ589873 ACU589856:ACV589873 AMQ589856:AMR589873 AWM589856:AWN589873 BGI589856:BGJ589873 BQE589856:BQF589873 CAA589856:CAB589873 CJW589856:CJX589873 CTS589856:CTT589873 DDO589856:DDP589873 DNK589856:DNL589873 DXG589856:DXH589873 EHC589856:EHD589873 EQY589856:EQZ589873 FAU589856:FAV589873 FKQ589856:FKR589873 FUM589856:FUN589873 GEI589856:GEJ589873 GOE589856:GOF589873 GYA589856:GYB589873 HHW589856:HHX589873 HRS589856:HRT589873 IBO589856:IBP589873 ILK589856:ILL589873 IVG589856:IVH589873 JFC589856:JFD589873 JOY589856:JOZ589873 JYU589856:JYV589873 KIQ589856:KIR589873 KSM589856:KSN589873 LCI589856:LCJ589873 LME589856:LMF589873 LWA589856:LWB589873 MFW589856:MFX589873 MPS589856:MPT589873 MZO589856:MZP589873 NJK589856:NJL589873 NTG589856:NTH589873 ODC589856:ODD589873 OMY589856:OMZ589873 OWU589856:OWV589873 PGQ589856:PGR589873 PQM589856:PQN589873 QAI589856:QAJ589873 QKE589856:QKF589873 QUA589856:QUB589873 RDW589856:RDX589873 RNS589856:RNT589873 RXO589856:RXP589873 SHK589856:SHL589873 SRG589856:SRH589873 TBC589856:TBD589873 TKY589856:TKZ589873 TUU589856:TUV589873 UEQ589856:UER589873 UOM589856:UON589873 UYI589856:UYJ589873 VIE589856:VIF589873 VSA589856:VSB589873 WBW589856:WBX589873 WLS589856:WLT589873 WVO589856:WVP589873 G655392:H655409 JC655392:JD655409 SY655392:SZ655409 ACU655392:ACV655409 AMQ655392:AMR655409 AWM655392:AWN655409 BGI655392:BGJ655409 BQE655392:BQF655409 CAA655392:CAB655409 CJW655392:CJX655409 CTS655392:CTT655409 DDO655392:DDP655409 DNK655392:DNL655409 DXG655392:DXH655409 EHC655392:EHD655409 EQY655392:EQZ655409 FAU655392:FAV655409 FKQ655392:FKR655409 FUM655392:FUN655409 GEI655392:GEJ655409 GOE655392:GOF655409 GYA655392:GYB655409 HHW655392:HHX655409 HRS655392:HRT655409 IBO655392:IBP655409 ILK655392:ILL655409 IVG655392:IVH655409 JFC655392:JFD655409 JOY655392:JOZ655409 JYU655392:JYV655409 KIQ655392:KIR655409 KSM655392:KSN655409 LCI655392:LCJ655409 LME655392:LMF655409 LWA655392:LWB655409 MFW655392:MFX655409 MPS655392:MPT655409 MZO655392:MZP655409 NJK655392:NJL655409 NTG655392:NTH655409 ODC655392:ODD655409 OMY655392:OMZ655409 OWU655392:OWV655409 PGQ655392:PGR655409 PQM655392:PQN655409 QAI655392:QAJ655409 QKE655392:QKF655409 QUA655392:QUB655409 RDW655392:RDX655409 RNS655392:RNT655409 RXO655392:RXP655409 SHK655392:SHL655409 SRG655392:SRH655409 TBC655392:TBD655409 TKY655392:TKZ655409 TUU655392:TUV655409 UEQ655392:UER655409 UOM655392:UON655409 UYI655392:UYJ655409 VIE655392:VIF655409 VSA655392:VSB655409 WBW655392:WBX655409 WLS655392:WLT655409 WVO655392:WVP655409 G720928:H720945 JC720928:JD720945 SY720928:SZ720945 ACU720928:ACV720945 AMQ720928:AMR720945 AWM720928:AWN720945 BGI720928:BGJ720945 BQE720928:BQF720945 CAA720928:CAB720945 CJW720928:CJX720945 CTS720928:CTT720945 DDO720928:DDP720945 DNK720928:DNL720945 DXG720928:DXH720945 EHC720928:EHD720945 EQY720928:EQZ720945 FAU720928:FAV720945 FKQ720928:FKR720945 FUM720928:FUN720945 GEI720928:GEJ720945 GOE720928:GOF720945 GYA720928:GYB720945 HHW720928:HHX720945 HRS720928:HRT720945 IBO720928:IBP720945 ILK720928:ILL720945 IVG720928:IVH720945 JFC720928:JFD720945 JOY720928:JOZ720945 JYU720928:JYV720945 KIQ720928:KIR720945 KSM720928:KSN720945 LCI720928:LCJ720945 LME720928:LMF720945 LWA720928:LWB720945 MFW720928:MFX720945 MPS720928:MPT720945 MZO720928:MZP720945 NJK720928:NJL720945 NTG720928:NTH720945 ODC720928:ODD720945 OMY720928:OMZ720945 OWU720928:OWV720945 PGQ720928:PGR720945 PQM720928:PQN720945 QAI720928:QAJ720945 QKE720928:QKF720945 QUA720928:QUB720945 RDW720928:RDX720945 RNS720928:RNT720945 RXO720928:RXP720945 SHK720928:SHL720945 SRG720928:SRH720945 TBC720928:TBD720945 TKY720928:TKZ720945 TUU720928:TUV720945 UEQ720928:UER720945 UOM720928:UON720945 UYI720928:UYJ720945 VIE720928:VIF720945 VSA720928:VSB720945 WBW720928:WBX720945 WLS720928:WLT720945 WVO720928:WVP720945 G786464:H786481 JC786464:JD786481 SY786464:SZ786481 ACU786464:ACV786481 AMQ786464:AMR786481 AWM786464:AWN786481 BGI786464:BGJ786481 BQE786464:BQF786481 CAA786464:CAB786481 CJW786464:CJX786481 CTS786464:CTT786481 DDO786464:DDP786481 DNK786464:DNL786481 DXG786464:DXH786481 EHC786464:EHD786481 EQY786464:EQZ786481 FAU786464:FAV786481 FKQ786464:FKR786481 FUM786464:FUN786481 GEI786464:GEJ786481 GOE786464:GOF786481 GYA786464:GYB786481 HHW786464:HHX786481 HRS786464:HRT786481 IBO786464:IBP786481 ILK786464:ILL786481 IVG786464:IVH786481 JFC786464:JFD786481 JOY786464:JOZ786481 JYU786464:JYV786481 KIQ786464:KIR786481 KSM786464:KSN786481 LCI786464:LCJ786481 LME786464:LMF786481 LWA786464:LWB786481 MFW786464:MFX786481 MPS786464:MPT786481 MZO786464:MZP786481 NJK786464:NJL786481 NTG786464:NTH786481 ODC786464:ODD786481 OMY786464:OMZ786481 OWU786464:OWV786481 PGQ786464:PGR786481 PQM786464:PQN786481 QAI786464:QAJ786481 QKE786464:QKF786481 QUA786464:QUB786481 RDW786464:RDX786481 RNS786464:RNT786481 RXO786464:RXP786481 SHK786464:SHL786481 SRG786464:SRH786481 TBC786464:TBD786481 TKY786464:TKZ786481 TUU786464:TUV786481 UEQ786464:UER786481 UOM786464:UON786481 UYI786464:UYJ786481 VIE786464:VIF786481 VSA786464:VSB786481 WBW786464:WBX786481 WLS786464:WLT786481 WVO786464:WVP786481 G852000:H852017 JC852000:JD852017 SY852000:SZ852017 ACU852000:ACV852017 AMQ852000:AMR852017 AWM852000:AWN852017 BGI852000:BGJ852017 BQE852000:BQF852017 CAA852000:CAB852017 CJW852000:CJX852017 CTS852000:CTT852017 DDO852000:DDP852017 DNK852000:DNL852017 DXG852000:DXH852017 EHC852000:EHD852017 EQY852000:EQZ852017 FAU852000:FAV852017 FKQ852000:FKR852017 FUM852000:FUN852017 GEI852000:GEJ852017 GOE852000:GOF852017 GYA852000:GYB852017 HHW852000:HHX852017 HRS852000:HRT852017 IBO852000:IBP852017 ILK852000:ILL852017 IVG852000:IVH852017 JFC852000:JFD852017 JOY852000:JOZ852017 JYU852000:JYV852017 KIQ852000:KIR852017 KSM852000:KSN852017 LCI852000:LCJ852017 LME852000:LMF852017 LWA852000:LWB852017 MFW852000:MFX852017 MPS852000:MPT852017 MZO852000:MZP852017 NJK852000:NJL852017 NTG852000:NTH852017 ODC852000:ODD852017 OMY852000:OMZ852017 OWU852000:OWV852017 PGQ852000:PGR852017 PQM852000:PQN852017 QAI852000:QAJ852017 QKE852000:QKF852017 QUA852000:QUB852017 RDW852000:RDX852017 RNS852000:RNT852017 RXO852000:RXP852017 SHK852000:SHL852017 SRG852000:SRH852017 TBC852000:TBD852017 TKY852000:TKZ852017 TUU852000:TUV852017 UEQ852000:UER852017 UOM852000:UON852017 UYI852000:UYJ852017 VIE852000:VIF852017 VSA852000:VSB852017 WBW852000:WBX852017 WLS852000:WLT852017 WVO852000:WVP852017 G917536:H917553 JC917536:JD917553 SY917536:SZ917553 ACU917536:ACV917553 AMQ917536:AMR917553 AWM917536:AWN917553 BGI917536:BGJ917553 BQE917536:BQF917553 CAA917536:CAB917553 CJW917536:CJX917553 CTS917536:CTT917553 DDO917536:DDP917553 DNK917536:DNL917553 DXG917536:DXH917553 EHC917536:EHD917553 EQY917536:EQZ917553 FAU917536:FAV917553 FKQ917536:FKR917553 FUM917536:FUN917553 GEI917536:GEJ917553 GOE917536:GOF917553 GYA917536:GYB917553 HHW917536:HHX917553 HRS917536:HRT917553 IBO917536:IBP917553 ILK917536:ILL917553 IVG917536:IVH917553 JFC917536:JFD917553 JOY917536:JOZ917553 JYU917536:JYV917553 KIQ917536:KIR917553 KSM917536:KSN917553 LCI917536:LCJ917553 LME917536:LMF917553 LWA917536:LWB917553 MFW917536:MFX917553 MPS917536:MPT917553 MZO917536:MZP917553 NJK917536:NJL917553 NTG917536:NTH917553 ODC917536:ODD917553 OMY917536:OMZ917553 OWU917536:OWV917553 PGQ917536:PGR917553 PQM917536:PQN917553 QAI917536:QAJ917553 QKE917536:QKF917553 QUA917536:QUB917553 RDW917536:RDX917553 RNS917536:RNT917553 RXO917536:RXP917553 SHK917536:SHL917553 SRG917536:SRH917553 TBC917536:TBD917553 TKY917536:TKZ917553 TUU917536:TUV917553 UEQ917536:UER917553 UOM917536:UON917553 UYI917536:UYJ917553 VIE917536:VIF917553 VSA917536:VSB917553 WBW917536:WBX917553 WLS917536:WLT917553 WVO917536:WVP917553 G983072:H983089 JC983072:JD983089 SY983072:SZ983089 ACU983072:ACV983089 AMQ983072:AMR983089 AWM983072:AWN983089 BGI983072:BGJ983089 BQE983072:BQF983089 CAA983072:CAB983089 CJW983072:CJX983089 CTS983072:CTT983089 DDO983072:DDP983089 DNK983072:DNL983089 DXG983072:DXH983089 EHC983072:EHD983089 EQY983072:EQZ983089 FAU983072:FAV983089 FKQ983072:FKR983089 FUM983072:FUN983089 GEI983072:GEJ983089 GOE983072:GOF983089 GYA983072:GYB983089 HHW983072:HHX983089 HRS983072:HRT983089 IBO983072:IBP983089 ILK983072:ILL983089 IVG983072:IVH983089 JFC983072:JFD983089 JOY983072:JOZ983089 JYU983072:JYV983089 KIQ983072:KIR983089 KSM983072:KSN983089 LCI983072:LCJ983089 LME983072:LMF983089 LWA983072:LWB983089 MFW983072:MFX983089 MPS983072:MPT983089 MZO983072:MZP983089 NJK983072:NJL983089 NTG983072:NTH983089 ODC983072:ODD983089 OMY983072:OMZ983089 OWU983072:OWV983089 PGQ983072:PGR983089 PQM983072:PQN983089 QAI983072:QAJ983089 QKE983072:QKF983089 QUA983072:QUB983089 RDW983072:RDX983089 RNS983072:RNT983089 RXO983072:RXP983089 SHK983072:SHL983089 SRG983072:SRH983089 TBC983072:TBD983089 TKY983072:TKZ983089 TUU983072:TUV983089 UEQ983072:UER983089 UOM983072:UON983089 UYI983072:UYJ983089 VIE983072:VIF983089 VSA983072:VSB983089 WBW983072:WBX983089 WLS983072:WLT983089 WVO983072:WVP983089"/>
  </dataValidations>
  <printOptions horizontalCentered="1" verticalCentered="1"/>
  <pageMargins left="0.31496062992126" right="0.35433070866141703" top="1.14173228346457" bottom="0.59055118110236204" header="1.1811023622047201" footer="0.31496062992126"/>
  <pageSetup paperSize="9" scale="75" orientation="landscape" r:id="rId1"/>
  <headerFooter alignWithMargins="0">
    <oddHeader>&amp;C&amp;"Times New Roman,Bold"&amp;16SOUTHERN POWER DISTRIBUTION COMPANY OF TELANGANA LTD.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W49"/>
  <sheetViews>
    <sheetView view="pageBreakPreview" zoomScaleNormal="80" zoomScaleSheetLayoutView="100" workbookViewId="0">
      <selection activeCell="J27" sqref="J27"/>
    </sheetView>
  </sheetViews>
  <sheetFormatPr defaultColWidth="9.140625" defaultRowHeight="15.75"/>
  <cols>
    <col min="1" max="1" width="1.85546875" style="109" customWidth="1"/>
    <col min="2" max="2" width="6.140625" style="108" customWidth="1"/>
    <col min="3" max="3" width="29.7109375" style="105" customWidth="1"/>
    <col min="4" max="4" width="11.5703125" style="105" customWidth="1"/>
    <col min="5" max="5" width="11.28515625" style="107" customWidth="1"/>
    <col min="6" max="6" width="11.7109375" style="107" customWidth="1"/>
    <col min="7" max="7" width="16" style="107" hidden="1" customWidth="1"/>
    <col min="8" max="8" width="11.7109375" style="107" customWidth="1"/>
    <col min="9" max="10" width="12.42578125" style="105" customWidth="1"/>
    <col min="11" max="11" width="12.7109375" style="105" customWidth="1"/>
    <col min="12" max="12" width="12.85546875" style="105" customWidth="1"/>
    <col min="13" max="13" width="11.28515625" style="105" customWidth="1"/>
    <col min="14" max="14" width="13.7109375" style="105" hidden="1" customWidth="1"/>
    <col min="15" max="15" width="12.140625" style="105" customWidth="1"/>
    <col min="16" max="16" width="11.7109375" style="105" customWidth="1"/>
    <col min="17" max="17" width="12" style="105" customWidth="1"/>
    <col min="18" max="18" width="19.140625" style="105" customWidth="1"/>
    <col min="19" max="19" width="16.140625" style="106" bestFit="1" customWidth="1"/>
    <col min="20" max="20" width="28.140625" style="105" customWidth="1"/>
    <col min="21" max="21" width="10.28515625" style="105" bestFit="1" customWidth="1"/>
    <col min="22" max="22" width="5.85546875" style="105" customWidth="1"/>
    <col min="23" max="23" width="39.5703125" style="105" bestFit="1" customWidth="1"/>
    <col min="24" max="24" width="17.42578125" style="105" bestFit="1" customWidth="1"/>
    <col min="25" max="25" width="13" style="105" bestFit="1" customWidth="1"/>
    <col min="26" max="26" width="24.5703125" style="105" bestFit="1" customWidth="1"/>
    <col min="27" max="27" width="37.42578125" style="105" bestFit="1" customWidth="1"/>
    <col min="28" max="28" width="30.7109375" style="105" bestFit="1" customWidth="1"/>
    <col min="29" max="29" width="21.28515625" style="105" bestFit="1" customWidth="1"/>
    <col min="30" max="30" width="25.5703125" style="105" bestFit="1" customWidth="1"/>
    <col min="31" max="31" width="30" style="105" bestFit="1" customWidth="1"/>
    <col min="32" max="32" width="31.28515625" style="105" bestFit="1" customWidth="1"/>
    <col min="33" max="33" width="21.7109375" style="105" bestFit="1" customWidth="1"/>
    <col min="34" max="35" width="21.28515625" style="105" bestFit="1" customWidth="1"/>
    <col min="36" max="36" width="20.140625" style="105" bestFit="1" customWidth="1"/>
    <col min="37" max="16384" width="9.140625" style="105"/>
  </cols>
  <sheetData>
    <row r="2" spans="1:23" ht="19.5" customHeight="1">
      <c r="B2" s="352" t="s">
        <v>352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172"/>
    </row>
    <row r="3" spans="1:23" s="170" customFormat="1">
      <c r="A3" s="109"/>
      <c r="B3" s="353" t="s">
        <v>351</v>
      </c>
      <c r="C3" s="354" t="s">
        <v>2</v>
      </c>
      <c r="D3" s="355" t="s">
        <v>350</v>
      </c>
      <c r="E3" s="356"/>
      <c r="F3" s="356"/>
      <c r="G3" s="356"/>
      <c r="H3" s="356"/>
      <c r="I3" s="357"/>
      <c r="J3" s="355" t="s">
        <v>349</v>
      </c>
      <c r="K3" s="356"/>
      <c r="L3" s="356"/>
      <c r="M3" s="356"/>
      <c r="N3" s="356"/>
      <c r="O3" s="357"/>
      <c r="P3" s="355" t="s">
        <v>348</v>
      </c>
      <c r="Q3" s="357"/>
      <c r="R3" s="171"/>
      <c r="S3" s="106"/>
    </row>
    <row r="4" spans="1:23" ht="76.5" customHeight="1">
      <c r="B4" s="353"/>
      <c r="C4" s="354"/>
      <c r="D4" s="169" t="s">
        <v>347</v>
      </c>
      <c r="E4" s="169" t="s">
        <v>346</v>
      </c>
      <c r="F4" s="169" t="s">
        <v>345</v>
      </c>
      <c r="G4" s="169" t="s">
        <v>344</v>
      </c>
      <c r="H4" s="169" t="s">
        <v>343</v>
      </c>
      <c r="I4" s="169" t="s">
        <v>337</v>
      </c>
      <c r="J4" s="169" t="s">
        <v>342</v>
      </c>
      <c r="K4" s="169" t="s">
        <v>341</v>
      </c>
      <c r="L4" s="169" t="s">
        <v>340</v>
      </c>
      <c r="M4" s="169" t="s">
        <v>339</v>
      </c>
      <c r="N4" s="169" t="s">
        <v>338</v>
      </c>
      <c r="O4" s="169" t="s">
        <v>337</v>
      </c>
      <c r="P4" s="169" t="s">
        <v>336</v>
      </c>
      <c r="Q4" s="169" t="s">
        <v>335</v>
      </c>
      <c r="R4" s="168"/>
      <c r="T4" s="114">
        <f>+K24+M24-L24</f>
        <v>797.71000000000038</v>
      </c>
    </row>
    <row r="5" spans="1:23" hidden="1">
      <c r="B5" s="165"/>
      <c r="C5" s="163"/>
      <c r="D5" s="167" t="s">
        <v>334</v>
      </c>
      <c r="E5" s="167" t="s">
        <v>334</v>
      </c>
      <c r="F5" s="167" t="s">
        <v>334</v>
      </c>
      <c r="G5" s="167" t="s">
        <v>334</v>
      </c>
      <c r="H5" s="167" t="s">
        <v>334</v>
      </c>
      <c r="I5" s="167" t="s">
        <v>334</v>
      </c>
      <c r="J5" s="167" t="s">
        <v>334</v>
      </c>
      <c r="K5" s="167" t="s">
        <v>334</v>
      </c>
      <c r="L5" s="167" t="s">
        <v>334</v>
      </c>
      <c r="M5" s="167" t="s">
        <v>334</v>
      </c>
      <c r="N5" s="167" t="s">
        <v>334</v>
      </c>
      <c r="O5" s="167" t="s">
        <v>334</v>
      </c>
      <c r="P5" s="167" t="s">
        <v>334</v>
      </c>
      <c r="Q5" s="167" t="s">
        <v>334</v>
      </c>
      <c r="R5" s="166"/>
    </row>
    <row r="6" spans="1:23" ht="21.75" customHeight="1">
      <c r="B6" s="165" t="s">
        <v>333</v>
      </c>
      <c r="C6" s="164" t="s">
        <v>332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2"/>
    </row>
    <row r="7" spans="1:23" s="153" customFormat="1" ht="21.75" customHeight="1">
      <c r="A7" s="155">
        <v>49</v>
      </c>
      <c r="B7" s="137"/>
      <c r="C7" s="158" t="s">
        <v>331</v>
      </c>
      <c r="D7" s="148">
        <v>8.64</v>
      </c>
      <c r="E7" s="148">
        <f t="shared" ref="E7:E17" si="0">(I7+H7+F7)-(G7+D7)</f>
        <v>0</v>
      </c>
      <c r="F7" s="148">
        <v>0</v>
      </c>
      <c r="G7" s="148"/>
      <c r="H7" s="148"/>
      <c r="I7" s="149">
        <f>IF(ISNA(VLOOKUP($A7,[4]Report!$E$5:$I$250,5,FALSE)),"0",VLOOKUP($A7,[4]Report!$E$5:$I$250,5,FALSE))</f>
        <v>8.64</v>
      </c>
      <c r="J7" s="148">
        <v>0</v>
      </c>
      <c r="K7" s="148">
        <f t="shared" ref="K7:K17" si="1">+O7-J7+L7+N7-M7</f>
        <v>0</v>
      </c>
      <c r="L7" s="148">
        <v>0</v>
      </c>
      <c r="M7" s="148"/>
      <c r="N7" s="148"/>
      <c r="O7" s="149">
        <v>0</v>
      </c>
      <c r="P7" s="148">
        <f t="shared" ref="P7:P17" si="2">+I7-O7</f>
        <v>8.64</v>
      </c>
      <c r="Q7" s="148">
        <v>8.64</v>
      </c>
      <c r="R7" s="147"/>
      <c r="S7" s="161"/>
      <c r="T7" s="131">
        <f t="shared" ref="T7:T23" si="3">D7+E7-F7+G7</f>
        <v>8.64</v>
      </c>
      <c r="U7" s="131">
        <f t="shared" ref="U7:U23" si="4">I7-T7</f>
        <v>0</v>
      </c>
      <c r="W7" s="131">
        <f t="shared" ref="W7:W17" si="5">+K7+L7</f>
        <v>0</v>
      </c>
    </row>
    <row r="8" spans="1:23" s="153" customFormat="1" ht="21.75" customHeight="1">
      <c r="A8" s="155">
        <v>50</v>
      </c>
      <c r="B8" s="137"/>
      <c r="C8" s="158" t="s">
        <v>311</v>
      </c>
      <c r="D8" s="148">
        <v>360.46</v>
      </c>
      <c r="E8" s="148">
        <f t="shared" si="0"/>
        <v>13.760000000000048</v>
      </c>
      <c r="F8" s="148">
        <v>0</v>
      </c>
      <c r="G8" s="148"/>
      <c r="H8" s="148"/>
      <c r="I8" s="149">
        <f>IF(ISNA(VLOOKUP($A8,[4]Report!$E$5:$I$250,5,FALSE)),"0",VLOOKUP($A8,[4]Report!$E$5:$I$250,5,FALSE))</f>
        <v>374.22</v>
      </c>
      <c r="J8" s="148">
        <v>106.62</v>
      </c>
      <c r="K8" s="148">
        <f t="shared" si="1"/>
        <v>12.280000000000001</v>
      </c>
      <c r="L8" s="148">
        <v>0</v>
      </c>
      <c r="M8" s="157"/>
      <c r="N8" s="148"/>
      <c r="O8" s="149">
        <f>IF(ISNA(VLOOKUP($S8,[4]Report!$E$5:$I$250,5,FALSE)),"0",VLOOKUP($S8,[4]Report!$E$5:$I$250,5,FALSE)*-1)</f>
        <v>118.9</v>
      </c>
      <c r="P8" s="148">
        <f t="shared" si="2"/>
        <v>255.32000000000002</v>
      </c>
      <c r="Q8" s="148">
        <v>253.84</v>
      </c>
      <c r="R8" s="147"/>
      <c r="S8" s="161">
        <v>67</v>
      </c>
      <c r="T8" s="131">
        <f t="shared" si="3"/>
        <v>374.22</v>
      </c>
      <c r="U8" s="131">
        <f t="shared" si="4"/>
        <v>0</v>
      </c>
      <c r="W8" s="131">
        <f t="shared" si="5"/>
        <v>12.280000000000001</v>
      </c>
    </row>
    <row r="9" spans="1:23" s="153" customFormat="1" ht="21.75" customHeight="1">
      <c r="A9" s="155">
        <v>51</v>
      </c>
      <c r="B9" s="137"/>
      <c r="C9" s="158" t="s">
        <v>330</v>
      </c>
      <c r="D9" s="148">
        <v>211.88</v>
      </c>
      <c r="E9" s="148">
        <f t="shared" si="0"/>
        <v>9.2000000000000171</v>
      </c>
      <c r="F9" s="148">
        <v>0</v>
      </c>
      <c r="G9" s="148"/>
      <c r="H9" s="148"/>
      <c r="I9" s="149">
        <f>IF(ISNA(VLOOKUP($A9,[4]Report!$E$5:$I$250,5,FALSE)),"0",VLOOKUP($A9,[4]Report!$E$5:$I$250,5,FALSE))</f>
        <v>221.08</v>
      </c>
      <c r="J9" s="148">
        <v>37.159999999999997</v>
      </c>
      <c r="K9" s="148">
        <f t="shared" si="1"/>
        <v>7.2600000000000051</v>
      </c>
      <c r="L9" s="148">
        <v>0</v>
      </c>
      <c r="M9" s="157"/>
      <c r="N9" s="148"/>
      <c r="O9" s="149">
        <f>IF(ISNA(VLOOKUP($S9,[4]Report!$E$5:$I$250,5,FALSE)),"0",VLOOKUP($S9,[4]Report!$E$5:$I$250,5,FALSE)*-1)</f>
        <v>44.42</v>
      </c>
      <c r="P9" s="148">
        <f t="shared" si="2"/>
        <v>176.66000000000003</v>
      </c>
      <c r="Q9" s="148">
        <v>174.72</v>
      </c>
      <c r="R9" s="147"/>
      <c r="S9" s="161">
        <v>68</v>
      </c>
      <c r="T9" s="131">
        <f t="shared" si="3"/>
        <v>221.08</v>
      </c>
      <c r="U9" s="131">
        <f t="shared" si="4"/>
        <v>0</v>
      </c>
      <c r="W9" s="131">
        <f t="shared" si="5"/>
        <v>7.2600000000000051</v>
      </c>
    </row>
    <row r="10" spans="1:23" s="153" customFormat="1" ht="21.75" customHeight="1">
      <c r="A10" s="155">
        <v>52</v>
      </c>
      <c r="B10" s="137"/>
      <c r="C10" s="158" t="s">
        <v>312</v>
      </c>
      <c r="D10" s="148">
        <v>8377.5300000000007</v>
      </c>
      <c r="E10" s="148">
        <f t="shared" si="0"/>
        <v>610.22000000000116</v>
      </c>
      <c r="F10" s="160">
        <v>0.87</v>
      </c>
      <c r="G10" s="148"/>
      <c r="H10" s="148"/>
      <c r="I10" s="149">
        <f>IF(ISNA(VLOOKUP($A10,[4]Report!$E$5:$I$250,5,FALSE)),"0",VLOOKUP($A10,[4]Report!$E$5:$I$250,5,FALSE))</f>
        <v>8986.880000000001</v>
      </c>
      <c r="J10" s="148">
        <v>4380.46</v>
      </c>
      <c r="K10" s="148">
        <f t="shared" si="1"/>
        <v>355.54000000000019</v>
      </c>
      <c r="L10" s="148">
        <v>0.74</v>
      </c>
      <c r="M10" s="157"/>
      <c r="N10" s="148"/>
      <c r="O10" s="149">
        <f>IF(ISNA(VLOOKUP($S10,[4]Report!$E$5:$I$250,5,FALSE)),"0",VLOOKUP($S10,[4]Report!$E$5:$I$250,5,FALSE)*-1)</f>
        <v>4735.26</v>
      </c>
      <c r="P10" s="148">
        <f t="shared" si="2"/>
        <v>4251.6200000000008</v>
      </c>
      <c r="Q10" s="148">
        <v>3997.07</v>
      </c>
      <c r="R10" s="147"/>
      <c r="S10" s="159">
        <v>69</v>
      </c>
      <c r="T10" s="131">
        <f t="shared" si="3"/>
        <v>8986.880000000001</v>
      </c>
      <c r="U10" s="131">
        <f t="shared" si="4"/>
        <v>0</v>
      </c>
      <c r="W10" s="131">
        <f t="shared" si="5"/>
        <v>356.2800000000002</v>
      </c>
    </row>
    <row r="11" spans="1:23" s="139" customFormat="1" ht="21.75" customHeight="1">
      <c r="A11" s="145">
        <v>53</v>
      </c>
      <c r="B11" s="144"/>
      <c r="C11" s="158" t="s">
        <v>329</v>
      </c>
      <c r="D11" s="148">
        <v>8000.08</v>
      </c>
      <c r="E11" s="148">
        <f t="shared" si="0"/>
        <v>680.01000000000022</v>
      </c>
      <c r="F11" s="148">
        <v>0</v>
      </c>
      <c r="G11" s="148"/>
      <c r="H11" s="148"/>
      <c r="I11" s="149">
        <f>IF(ISNA(VLOOKUP($A11,[4]Report!$E$5:$I$250,5,FALSE)),"0",VLOOKUP($A11,[4]Report!$E$5:$I$250,5,FALSE))</f>
        <v>8680.09</v>
      </c>
      <c r="J11" s="148">
        <v>3779.73</v>
      </c>
      <c r="K11" s="148">
        <f t="shared" si="1"/>
        <v>346.40000000000009</v>
      </c>
      <c r="L11" s="148">
        <v>0</v>
      </c>
      <c r="M11" s="157"/>
      <c r="N11" s="148"/>
      <c r="O11" s="149">
        <f>IF(ISNA(VLOOKUP($S11,[4]Report!$E$5:$I$250,5,FALSE)),"0",VLOOKUP($S11,[4]Report!$E$5:$I$250,5,FALSE)*-1)</f>
        <v>4126.13</v>
      </c>
      <c r="P11" s="148">
        <f t="shared" si="2"/>
        <v>4553.96</v>
      </c>
      <c r="Q11" s="148">
        <v>4220.3500000000004</v>
      </c>
      <c r="R11" s="147"/>
      <c r="S11" s="159">
        <v>70</v>
      </c>
      <c r="T11" s="131">
        <f t="shared" si="3"/>
        <v>8680.09</v>
      </c>
      <c r="U11" s="131">
        <f t="shared" si="4"/>
        <v>0</v>
      </c>
      <c r="W11" s="131">
        <f t="shared" si="5"/>
        <v>346.40000000000009</v>
      </c>
    </row>
    <row r="12" spans="1:23" s="139" customFormat="1" ht="21.75" customHeight="1">
      <c r="A12" s="145">
        <v>54</v>
      </c>
      <c r="B12" s="144"/>
      <c r="C12" s="158" t="s">
        <v>328</v>
      </c>
      <c r="D12" s="148">
        <v>1731.82</v>
      </c>
      <c r="E12" s="148">
        <f t="shared" si="0"/>
        <v>101.41000000000008</v>
      </c>
      <c r="F12" s="160">
        <v>5.91</v>
      </c>
      <c r="G12" s="148"/>
      <c r="H12" s="148"/>
      <c r="I12" s="149">
        <f>IF(ISNA(VLOOKUP($A12,[4]Report!$E$5:$I$250,5,FALSE)),"0",VLOOKUP($A12,[4]Report!$E$5:$I$250,5,FALSE))</f>
        <v>1827.32</v>
      </c>
      <c r="J12" s="148">
        <v>1104.8499999999999</v>
      </c>
      <c r="K12" s="148">
        <f t="shared" si="1"/>
        <v>50.550000000000139</v>
      </c>
      <c r="L12" s="148">
        <v>3.45</v>
      </c>
      <c r="M12" s="157"/>
      <c r="N12" s="148"/>
      <c r="O12" s="148">
        <f>IF(ISNA(VLOOKUP($S12,[4]Report!$E$5:$I$250,5,FALSE)),"0",VLOOKUP($S12,[4]Report!$E$5:$I$250,5,FALSE)*-1)</f>
        <v>1151.95</v>
      </c>
      <c r="P12" s="148">
        <f t="shared" si="2"/>
        <v>675.36999999999989</v>
      </c>
      <c r="Q12" s="148">
        <v>626.97</v>
      </c>
      <c r="R12" s="147"/>
      <c r="S12" s="159">
        <v>71</v>
      </c>
      <c r="T12" s="131">
        <f t="shared" si="3"/>
        <v>1827.32</v>
      </c>
      <c r="U12" s="131">
        <f t="shared" si="4"/>
        <v>0</v>
      </c>
      <c r="W12" s="131">
        <f t="shared" si="5"/>
        <v>54.000000000000142</v>
      </c>
    </row>
    <row r="13" spans="1:23" s="153" customFormat="1" ht="21.75" customHeight="1">
      <c r="A13" s="155">
        <v>55</v>
      </c>
      <c r="B13" s="137"/>
      <c r="C13" s="158" t="s">
        <v>313</v>
      </c>
      <c r="D13" s="148">
        <v>7.08</v>
      </c>
      <c r="E13" s="148">
        <f t="shared" si="0"/>
        <v>0</v>
      </c>
      <c r="F13" s="148">
        <v>0</v>
      </c>
      <c r="G13" s="148"/>
      <c r="H13" s="148"/>
      <c r="I13" s="149">
        <f>IF(ISNA(VLOOKUP($A13,[4]Report!$E$5:$I$250,5,FALSE)),"0",VLOOKUP($A13,[4]Report!$E$5:$I$250,5,FALSE))</f>
        <v>7.08</v>
      </c>
      <c r="J13" s="148">
        <v>6.37</v>
      </c>
      <c r="K13" s="148">
        <f t="shared" si="1"/>
        <v>0</v>
      </c>
      <c r="L13" s="148">
        <v>0</v>
      </c>
      <c r="M13" s="148"/>
      <c r="N13" s="148"/>
      <c r="O13" s="149">
        <f>IF(ISNA(VLOOKUP($S13,[4]Report!$E$5:$I$250,5,FALSE)),"0",VLOOKUP($S13,[4]Report!$E$5:$I$250,5,FALSE)*-1)</f>
        <v>6.37</v>
      </c>
      <c r="P13" s="148">
        <f t="shared" si="2"/>
        <v>0.71</v>
      </c>
      <c r="Q13" s="148">
        <v>0.71</v>
      </c>
      <c r="R13" s="147"/>
      <c r="S13" s="159">
        <v>72</v>
      </c>
      <c r="T13" s="131">
        <f t="shared" si="3"/>
        <v>7.08</v>
      </c>
      <c r="U13" s="131">
        <f t="shared" si="4"/>
        <v>0</v>
      </c>
      <c r="W13" s="131">
        <f t="shared" si="5"/>
        <v>0</v>
      </c>
    </row>
    <row r="14" spans="1:23" s="153" customFormat="1" ht="21.75" customHeight="1">
      <c r="A14" s="155">
        <v>56</v>
      </c>
      <c r="B14" s="137"/>
      <c r="C14" s="158" t="s">
        <v>327</v>
      </c>
      <c r="D14" s="148">
        <v>16.47</v>
      </c>
      <c r="E14" s="148">
        <f t="shared" si="0"/>
        <v>0.78000000000000114</v>
      </c>
      <c r="F14" s="148">
        <v>0</v>
      </c>
      <c r="G14" s="148"/>
      <c r="H14" s="148"/>
      <c r="I14" s="149">
        <f>IF(ISNA(VLOOKUP($A14,[4]Report!$E$5:$I$250,5,FALSE)),"0",VLOOKUP($A14,[4]Report!$E$5:$I$250,5,FALSE))</f>
        <v>17.25</v>
      </c>
      <c r="J14" s="148">
        <v>10.93</v>
      </c>
      <c r="K14" s="148">
        <f t="shared" si="1"/>
        <v>0.54000000000000092</v>
      </c>
      <c r="L14" s="148">
        <v>0</v>
      </c>
      <c r="M14" s="148"/>
      <c r="N14" s="148"/>
      <c r="O14" s="149">
        <f>IF(ISNA(VLOOKUP($S14,[4]Report!$E$5:$I$250,5,FALSE)),"0",VLOOKUP($S14,[4]Report!$E$5:$I$250,5,FALSE)*-1)</f>
        <v>11.47</v>
      </c>
      <c r="P14" s="148">
        <f t="shared" si="2"/>
        <v>5.7799999999999994</v>
      </c>
      <c r="Q14" s="148">
        <v>5.54</v>
      </c>
      <c r="R14" s="147"/>
      <c r="S14" s="159">
        <v>73</v>
      </c>
      <c r="T14" s="131">
        <f t="shared" si="3"/>
        <v>17.25</v>
      </c>
      <c r="U14" s="131">
        <f t="shared" si="4"/>
        <v>0</v>
      </c>
      <c r="W14" s="131">
        <f t="shared" si="5"/>
        <v>0.54000000000000092</v>
      </c>
    </row>
    <row r="15" spans="1:23" s="153" customFormat="1" ht="21.75" customHeight="1">
      <c r="A15" s="155">
        <v>57</v>
      </c>
      <c r="B15" s="137"/>
      <c r="C15" s="158" t="s">
        <v>314</v>
      </c>
      <c r="D15" s="148">
        <v>47.24</v>
      </c>
      <c r="E15" s="148">
        <f t="shared" si="0"/>
        <v>4.1299999999999955</v>
      </c>
      <c r="F15" s="148">
        <v>0</v>
      </c>
      <c r="G15" s="148"/>
      <c r="H15" s="148"/>
      <c r="I15" s="149">
        <f>IF(ISNA(VLOOKUP($A15,[4]Report!$E$5:$I$250,5,FALSE)),"0",VLOOKUP($A15,[4]Report!$E$5:$I$250,5,FALSE))</f>
        <v>51.37</v>
      </c>
      <c r="J15" s="148">
        <v>30.83</v>
      </c>
      <c r="K15" s="148">
        <f t="shared" si="1"/>
        <v>1.740000000000002</v>
      </c>
      <c r="L15" s="148">
        <v>0</v>
      </c>
      <c r="M15" s="148"/>
      <c r="N15" s="148"/>
      <c r="O15" s="149">
        <f>IF(ISNA(VLOOKUP($S15,[4]Report!$E$5:$I$250,5,FALSE)),"0",VLOOKUP($S15,[4]Report!$E$5:$I$250,5,FALSE)*-1)</f>
        <v>32.57</v>
      </c>
      <c r="P15" s="148">
        <f t="shared" si="2"/>
        <v>18.799999999999997</v>
      </c>
      <c r="Q15" s="148">
        <v>16.41</v>
      </c>
      <c r="R15" s="147"/>
      <c r="S15" s="159">
        <v>74</v>
      </c>
      <c r="T15" s="131">
        <f t="shared" si="3"/>
        <v>51.37</v>
      </c>
      <c r="U15" s="131">
        <f t="shared" si="4"/>
        <v>0</v>
      </c>
      <c r="W15" s="131">
        <f t="shared" si="5"/>
        <v>1.740000000000002</v>
      </c>
    </row>
    <row r="16" spans="1:23" s="153" customFormat="1" ht="21.75" customHeight="1">
      <c r="A16" s="155">
        <v>58</v>
      </c>
      <c r="B16" s="137"/>
      <c r="C16" s="158" t="s">
        <v>326</v>
      </c>
      <c r="D16" s="148">
        <v>2.5</v>
      </c>
      <c r="E16" s="148">
        <f t="shared" si="0"/>
        <v>0.10000000000000009</v>
      </c>
      <c r="F16" s="148">
        <v>0</v>
      </c>
      <c r="G16" s="148"/>
      <c r="H16" s="148"/>
      <c r="I16" s="149">
        <f>IF(ISNA(VLOOKUP($A16,[4]Report!$E$5:$I$250,5,FALSE)),"0",VLOOKUP($A16,[4]Report!$E$5:$I$250,5,FALSE))</f>
        <v>2.6</v>
      </c>
      <c r="J16" s="148">
        <v>1.65</v>
      </c>
      <c r="K16" s="148">
        <f t="shared" si="1"/>
        <v>6.0000000000000053E-2</v>
      </c>
      <c r="L16" s="148">
        <v>0</v>
      </c>
      <c r="M16" s="148"/>
      <c r="N16" s="148"/>
      <c r="O16" s="149">
        <f>IF(ISNA(VLOOKUP($S16,[4]Report!$E$5:$I$250,5,FALSE)),"0",VLOOKUP($S16,[4]Report!$E$5:$I$250,5,FALSE)*-1)</f>
        <v>1.71</v>
      </c>
      <c r="P16" s="148">
        <f t="shared" si="2"/>
        <v>0.89000000000000012</v>
      </c>
      <c r="Q16" s="148">
        <v>0.85</v>
      </c>
      <c r="R16" s="147"/>
      <c r="S16" s="156">
        <v>75</v>
      </c>
      <c r="T16" s="131">
        <f t="shared" si="3"/>
        <v>2.6</v>
      </c>
      <c r="U16" s="131">
        <f t="shared" si="4"/>
        <v>0</v>
      </c>
      <c r="W16" s="131">
        <f t="shared" si="5"/>
        <v>6.0000000000000053E-2</v>
      </c>
    </row>
    <row r="17" spans="1:23" s="153" customFormat="1" ht="21.75" customHeight="1">
      <c r="A17" s="155">
        <v>59</v>
      </c>
      <c r="B17" s="137"/>
      <c r="C17" s="158" t="s">
        <v>325</v>
      </c>
      <c r="D17" s="148">
        <v>182.54</v>
      </c>
      <c r="E17" s="148">
        <f t="shared" si="0"/>
        <v>3.0200000000000102</v>
      </c>
      <c r="F17" s="148">
        <v>0</v>
      </c>
      <c r="G17" s="148"/>
      <c r="H17" s="157"/>
      <c r="I17" s="149">
        <f>IF(ISNA(VLOOKUP($A17,[4]Report!$E$5:$I$250,5,FALSE)),"0",VLOOKUP($A17,[4]Report!$E$5:$I$250,5,FALSE))</f>
        <v>185.56</v>
      </c>
      <c r="J17" s="148">
        <v>122.47</v>
      </c>
      <c r="K17" s="148">
        <f t="shared" si="1"/>
        <v>22.960000000000008</v>
      </c>
      <c r="L17" s="148">
        <v>0</v>
      </c>
      <c r="M17" s="157"/>
      <c r="N17" s="148"/>
      <c r="O17" s="149">
        <f>IF(ISNA(VLOOKUP($S17,[4]Report!$E$5:$I$250,5,FALSE)),"0",VLOOKUP($S17,[4]Report!$E$5:$I$250,5,FALSE)*-1)</f>
        <v>145.43</v>
      </c>
      <c r="P17" s="148">
        <f t="shared" si="2"/>
        <v>40.129999999999995</v>
      </c>
      <c r="Q17" s="148">
        <v>60.07</v>
      </c>
      <c r="R17" s="147"/>
      <c r="S17" s="156">
        <v>76</v>
      </c>
      <c r="T17" s="131">
        <f t="shared" si="3"/>
        <v>185.56</v>
      </c>
      <c r="U17" s="131">
        <f t="shared" si="4"/>
        <v>0</v>
      </c>
      <c r="W17" s="131">
        <f t="shared" si="5"/>
        <v>22.960000000000008</v>
      </c>
    </row>
    <row r="18" spans="1:23" s="153" customFormat="1" ht="21.75" customHeight="1">
      <c r="A18" s="155"/>
      <c r="B18" s="137"/>
      <c r="C18" s="143" t="s">
        <v>319</v>
      </c>
      <c r="D18" s="142">
        <f>SUM(D7:D17)</f>
        <v>18946.240000000005</v>
      </c>
      <c r="E18" s="142">
        <f>SUM(E7:E17)</f>
        <v>1422.6300000000015</v>
      </c>
      <c r="F18" s="142">
        <f>SUM(F7:F17)</f>
        <v>6.78</v>
      </c>
      <c r="G18" s="142">
        <f>SUM(G7:G17)</f>
        <v>0</v>
      </c>
      <c r="H18" s="142">
        <f>SUM(H7:H17)</f>
        <v>0</v>
      </c>
      <c r="I18" s="142">
        <f>I7+I9+I8+I10+I11+I12+I13+I14+I15+I16+I17</f>
        <v>20362.090000000004</v>
      </c>
      <c r="J18" s="142">
        <f t="shared" ref="J18:O18" si="6">SUM(J7:J17)</f>
        <v>9581.07</v>
      </c>
      <c r="K18" s="142">
        <f t="shared" si="6"/>
        <v>797.33000000000038</v>
      </c>
      <c r="L18" s="142">
        <f t="shared" si="6"/>
        <v>4.1900000000000004</v>
      </c>
      <c r="M18" s="142">
        <f t="shared" si="6"/>
        <v>0</v>
      </c>
      <c r="N18" s="142">
        <f t="shared" si="6"/>
        <v>0</v>
      </c>
      <c r="O18" s="142">
        <f t="shared" si="6"/>
        <v>10374.209999999999</v>
      </c>
      <c r="P18" s="142">
        <f>P7+P9+P8+P10+P11+P12+P13+P14+P15+P16+P17</f>
        <v>9987.8799999999974</v>
      </c>
      <c r="Q18" s="142">
        <f>SUM(Q7:Q17)</f>
        <v>9365.17</v>
      </c>
      <c r="R18" s="141"/>
      <c r="S18" s="154"/>
      <c r="T18" s="131">
        <f t="shared" si="3"/>
        <v>20362.090000000007</v>
      </c>
      <c r="U18" s="131">
        <f t="shared" si="4"/>
        <v>0</v>
      </c>
    </row>
    <row r="19" spans="1:23" s="153" customFormat="1" ht="21.75" customHeight="1">
      <c r="A19" s="155"/>
      <c r="B19" s="144" t="s">
        <v>324</v>
      </c>
      <c r="C19" s="150" t="s">
        <v>323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1"/>
      <c r="S19" s="154"/>
      <c r="T19" s="131">
        <f t="shared" si="3"/>
        <v>0</v>
      </c>
      <c r="U19" s="131">
        <f t="shared" si="4"/>
        <v>0</v>
      </c>
    </row>
    <row r="20" spans="1:23" s="139" customFormat="1" ht="21.75" customHeight="1">
      <c r="A20" s="145">
        <v>61</v>
      </c>
      <c r="C20" s="152" t="s">
        <v>322</v>
      </c>
      <c r="D20" s="148">
        <v>68.72</v>
      </c>
      <c r="E20" s="148">
        <f>+I20+H20+F20-G20-D20</f>
        <v>2.0799999999999983</v>
      </c>
      <c r="F20" s="142">
        <v>0</v>
      </c>
      <c r="G20" s="148"/>
      <c r="H20" s="142"/>
      <c r="I20" s="148">
        <f>IF(ISNA(VLOOKUP($A20,[4]Report!$E$5:$I$250,5,FALSE)),"0",VLOOKUP($A20,[4]Report!$E$5:$I$250,5,FALSE))</f>
        <v>70.8</v>
      </c>
      <c r="J20" s="151">
        <v>44.54</v>
      </c>
      <c r="K20" s="148">
        <f>O20-J20+L20</f>
        <v>4.57</v>
      </c>
      <c r="L20" s="142"/>
      <c r="M20" s="142"/>
      <c r="N20" s="142"/>
      <c r="O20" s="148">
        <f>IF(ISNA(VLOOKUP($S20,[4]Report!$E$5:$I$250,5,FALSE)),"0",VLOOKUP($S20,[4]Report!$E$5:$I$250,5,FALSE)*-1)</f>
        <v>49.11</v>
      </c>
      <c r="P20" s="148">
        <f>+I20-O20</f>
        <v>21.689999999999998</v>
      </c>
      <c r="Q20" s="148">
        <v>24.18</v>
      </c>
      <c r="R20" s="147">
        <f>+Q20/10000000</f>
        <v>2.418E-6</v>
      </c>
      <c r="S20" s="140">
        <v>77</v>
      </c>
      <c r="T20" s="131">
        <f t="shared" si="3"/>
        <v>70.8</v>
      </c>
      <c r="U20" s="131">
        <f t="shared" si="4"/>
        <v>0</v>
      </c>
    </row>
    <row r="21" spans="1:23" s="146" customFormat="1" ht="21.75" customHeight="1">
      <c r="A21" s="145"/>
      <c r="B21" s="144"/>
      <c r="C21" s="143" t="s">
        <v>319</v>
      </c>
      <c r="D21" s="142">
        <f>SUM(D20)</f>
        <v>68.72</v>
      </c>
      <c r="E21" s="142">
        <f>SUM(E20)</f>
        <v>2.0799999999999983</v>
      </c>
      <c r="F21" s="142">
        <f>SUM(F20)</f>
        <v>0</v>
      </c>
      <c r="G21" s="142">
        <f>SUM(G20)</f>
        <v>0</v>
      </c>
      <c r="H21" s="142">
        <v>0</v>
      </c>
      <c r="I21" s="142">
        <f>SUM(I20)</f>
        <v>70.8</v>
      </c>
      <c r="J21" s="142">
        <f>SUM(J20)</f>
        <v>44.54</v>
      </c>
      <c r="K21" s="142">
        <f>SUM(K20)</f>
        <v>4.57</v>
      </c>
      <c r="L21" s="142">
        <f>SUM(L20)</f>
        <v>0</v>
      </c>
      <c r="M21" s="142">
        <v>0</v>
      </c>
      <c r="N21" s="142">
        <f>+SUM(N20)</f>
        <v>0</v>
      </c>
      <c r="O21" s="142">
        <f>SUM(O20)</f>
        <v>49.11</v>
      </c>
      <c r="P21" s="142">
        <f>SUM(P20)</f>
        <v>21.689999999999998</v>
      </c>
      <c r="Q21" s="142">
        <f>SUM(Q20)</f>
        <v>24.18</v>
      </c>
      <c r="R21" s="141"/>
      <c r="S21" s="140"/>
      <c r="T21" s="131">
        <f t="shared" si="3"/>
        <v>70.8</v>
      </c>
      <c r="U21" s="131">
        <f t="shared" si="4"/>
        <v>0</v>
      </c>
    </row>
    <row r="22" spans="1:23" s="139" customFormat="1" ht="21.75" customHeight="1">
      <c r="A22" s="145">
        <v>81</v>
      </c>
      <c r="B22" s="144" t="s">
        <v>321</v>
      </c>
      <c r="C22" s="150" t="s">
        <v>320</v>
      </c>
      <c r="D22" s="148">
        <v>1087.92</v>
      </c>
      <c r="E22" s="148">
        <f>+I22+H22+F22-G22-D22</f>
        <v>1610.1499999999996</v>
      </c>
      <c r="F22" s="148">
        <v>1491.1</v>
      </c>
      <c r="G22" s="148"/>
      <c r="H22" s="142"/>
      <c r="I22" s="148">
        <f>IF(ISNA(VLOOKUP($A22,[4]Report!$E$5:$I$250,5,FALSE)),"0",VLOOKUP($A22,[4]Report!$E$5:$I$250,5,FALSE))</f>
        <v>1206.97</v>
      </c>
      <c r="J22" s="148">
        <v>0</v>
      </c>
      <c r="K22" s="148">
        <v>0</v>
      </c>
      <c r="L22" s="142"/>
      <c r="M22" s="142"/>
      <c r="N22" s="142"/>
      <c r="O22" s="149">
        <v>0</v>
      </c>
      <c r="P22" s="148">
        <f>I22</f>
        <v>1206.97</v>
      </c>
      <c r="Q22" s="148">
        <v>1087.92</v>
      </c>
      <c r="R22" s="147">
        <f>+Q22/10000000</f>
        <v>1.0879200000000001E-4</v>
      </c>
      <c r="S22" s="140">
        <f>135497016729-135436760189</f>
        <v>60256540</v>
      </c>
      <c r="T22" s="131">
        <f t="shared" si="3"/>
        <v>1206.9699999999998</v>
      </c>
      <c r="U22" s="131">
        <f t="shared" si="4"/>
        <v>0</v>
      </c>
    </row>
    <row r="23" spans="1:23" s="146" customFormat="1" ht="21.75" customHeight="1">
      <c r="A23" s="145"/>
      <c r="B23" s="144"/>
      <c r="C23" s="143" t="s">
        <v>319</v>
      </c>
      <c r="D23" s="142">
        <f>SUM(D22)</f>
        <v>1087.92</v>
      </c>
      <c r="E23" s="142">
        <f>SUM(E22)</f>
        <v>1610.1499999999996</v>
      </c>
      <c r="F23" s="142">
        <f>SUM(F22)</f>
        <v>1491.1</v>
      </c>
      <c r="G23" s="142">
        <f>SUM(G22)</f>
        <v>0</v>
      </c>
      <c r="H23" s="142">
        <v>0</v>
      </c>
      <c r="I23" s="142">
        <f t="shared" ref="I23:Q23" si="7">SUM(I22)</f>
        <v>1206.97</v>
      </c>
      <c r="J23" s="142">
        <f t="shared" si="7"/>
        <v>0</v>
      </c>
      <c r="K23" s="142">
        <f t="shared" si="7"/>
        <v>0</v>
      </c>
      <c r="L23" s="142">
        <f t="shared" si="7"/>
        <v>0</v>
      </c>
      <c r="M23" s="142">
        <f t="shared" si="7"/>
        <v>0</v>
      </c>
      <c r="N23" s="142">
        <f t="shared" si="7"/>
        <v>0</v>
      </c>
      <c r="O23" s="142">
        <f t="shared" si="7"/>
        <v>0</v>
      </c>
      <c r="P23" s="142">
        <f t="shared" si="7"/>
        <v>1206.97</v>
      </c>
      <c r="Q23" s="142">
        <f t="shared" si="7"/>
        <v>1087.92</v>
      </c>
      <c r="R23" s="141"/>
      <c r="S23" s="140">
        <f>S22/2</f>
        <v>30128270</v>
      </c>
      <c r="T23" s="131">
        <f t="shared" si="3"/>
        <v>1206.9699999999998</v>
      </c>
      <c r="U23" s="131">
        <f t="shared" si="4"/>
        <v>0</v>
      </c>
    </row>
    <row r="24" spans="1:23" s="139" customFormat="1" ht="21.75" customHeight="1">
      <c r="A24" s="145"/>
      <c r="B24" s="144" t="s">
        <v>318</v>
      </c>
      <c r="C24" s="143" t="s">
        <v>317</v>
      </c>
      <c r="D24" s="142">
        <f t="shared" ref="D24:P24" si="8">+D18+D21+D23</f>
        <v>20102.880000000005</v>
      </c>
      <c r="E24" s="142">
        <f t="shared" si="8"/>
        <v>3034.860000000001</v>
      </c>
      <c r="F24" s="142">
        <f t="shared" si="8"/>
        <v>1497.8799999999999</v>
      </c>
      <c r="G24" s="142">
        <f t="shared" si="8"/>
        <v>0</v>
      </c>
      <c r="H24" s="142">
        <f t="shared" si="8"/>
        <v>0</v>
      </c>
      <c r="I24" s="142">
        <f t="shared" si="8"/>
        <v>21639.860000000004</v>
      </c>
      <c r="J24" s="142">
        <f t="shared" si="8"/>
        <v>9625.61</v>
      </c>
      <c r="K24" s="142">
        <f t="shared" si="8"/>
        <v>801.90000000000043</v>
      </c>
      <c r="L24" s="142">
        <f t="shared" si="8"/>
        <v>4.1900000000000004</v>
      </c>
      <c r="M24" s="142">
        <f t="shared" si="8"/>
        <v>0</v>
      </c>
      <c r="N24" s="142">
        <f t="shared" si="8"/>
        <v>0</v>
      </c>
      <c r="O24" s="142">
        <f t="shared" si="8"/>
        <v>10423.32</v>
      </c>
      <c r="P24" s="142">
        <f t="shared" si="8"/>
        <v>11216.539999999997</v>
      </c>
      <c r="Q24" s="142">
        <f>+Q23+Q21+Q18</f>
        <v>10477.27</v>
      </c>
      <c r="R24" s="141"/>
      <c r="S24" s="140"/>
    </row>
    <row r="25" spans="1:23" s="130" customFormat="1" ht="21.75" customHeight="1">
      <c r="A25" s="138"/>
      <c r="B25" s="137"/>
      <c r="C25" s="136" t="s">
        <v>316</v>
      </c>
      <c r="D25" s="134">
        <v>18649.59</v>
      </c>
      <c r="E25" s="135">
        <v>2908.42</v>
      </c>
      <c r="F25" s="135">
        <v>1455.13</v>
      </c>
      <c r="G25" s="135">
        <v>0</v>
      </c>
      <c r="H25" s="135">
        <v>0</v>
      </c>
      <c r="I25" s="135">
        <v>20102.88</v>
      </c>
      <c r="J25" s="134">
        <v>8503.94</v>
      </c>
      <c r="K25" s="135">
        <v>1126.23</v>
      </c>
      <c r="L25" s="135">
        <v>4.5599999999999996</v>
      </c>
      <c r="M25" s="135">
        <v>0</v>
      </c>
      <c r="N25" s="135">
        <v>0</v>
      </c>
      <c r="O25" s="135">
        <v>9625.61</v>
      </c>
      <c r="P25" s="135">
        <v>10477.27</v>
      </c>
      <c r="Q25" s="134">
        <v>10145.65</v>
      </c>
      <c r="R25" s="133"/>
      <c r="S25" s="132"/>
      <c r="T25" s="131"/>
    </row>
    <row r="26" spans="1:23" s="127" customFormat="1" ht="21.75" customHeight="1">
      <c r="A26" s="129"/>
      <c r="B26" s="351" t="s">
        <v>315</v>
      </c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351"/>
      <c r="S26" s="128"/>
      <c r="T26" s="114"/>
    </row>
    <row r="27" spans="1:23">
      <c r="A27" s="115"/>
      <c r="D27" s="173"/>
      <c r="E27" s="173"/>
      <c r="F27" s="118"/>
      <c r="G27" s="121"/>
      <c r="H27" s="121"/>
      <c r="I27" s="114"/>
      <c r="J27" s="120">
        <f>J18+J21</f>
        <v>9625.61</v>
      </c>
      <c r="K27" s="126"/>
      <c r="S27" s="105"/>
      <c r="T27" s="114"/>
    </row>
    <row r="28" spans="1:23">
      <c r="A28" s="115"/>
      <c r="D28" s="173">
        <f>D24-D23</f>
        <v>19014.960000000006</v>
      </c>
      <c r="E28" s="123">
        <f>E24-E22</f>
        <v>1424.7100000000014</v>
      </c>
      <c r="F28" s="123">
        <f>E28-F18</f>
        <v>1417.9300000000014</v>
      </c>
      <c r="I28" s="114"/>
      <c r="K28" s="125"/>
      <c r="L28" s="114"/>
      <c r="P28" s="119">
        <f>P24-P23</f>
        <v>10009.569999999998</v>
      </c>
      <c r="S28" s="105"/>
    </row>
    <row r="29" spans="1:23">
      <c r="A29" s="115"/>
      <c r="C29" s="186" t="s">
        <v>378</v>
      </c>
      <c r="D29" s="187" t="e">
        <f>(#REF!*100)/'Note 11 Fixed Assests'!D28</f>
        <v>#REF!</v>
      </c>
      <c r="E29" s="123">
        <f>E18+E21</f>
        <v>1424.7100000000014</v>
      </c>
      <c r="F29" s="121"/>
      <c r="G29" s="121"/>
      <c r="H29" s="121"/>
      <c r="K29" s="120"/>
      <c r="L29" s="114"/>
      <c r="N29" s="122"/>
      <c r="O29" s="110"/>
      <c r="P29" s="114"/>
      <c r="S29" s="105"/>
    </row>
    <row r="30" spans="1:23">
      <c r="A30" s="115"/>
      <c r="D30" s="110"/>
      <c r="E30" s="124"/>
      <c r="F30" s="123"/>
      <c r="G30" s="123"/>
      <c r="H30" s="123"/>
      <c r="I30" s="121"/>
      <c r="J30" s="114"/>
      <c r="K30" s="120"/>
      <c r="L30" s="114"/>
      <c r="N30" s="122"/>
      <c r="O30" s="111"/>
      <c r="S30" s="105"/>
    </row>
    <row r="31" spans="1:23">
      <c r="D31" s="114"/>
      <c r="F31" s="121"/>
      <c r="K31" s="120"/>
      <c r="L31" s="114"/>
    </row>
    <row r="32" spans="1:23">
      <c r="A32" s="115"/>
      <c r="D32" s="116"/>
      <c r="E32" s="118"/>
      <c r="F32" s="121"/>
      <c r="G32" s="105"/>
      <c r="H32" s="105"/>
      <c r="I32" s="110"/>
      <c r="J32" s="110"/>
      <c r="K32" s="120"/>
      <c r="L32" s="114"/>
      <c r="P32" s="114"/>
      <c r="S32" s="105"/>
    </row>
    <row r="33" spans="1:19">
      <c r="F33" s="121"/>
      <c r="G33" s="105"/>
      <c r="H33" s="105"/>
      <c r="I33" s="110"/>
      <c r="J33" s="110"/>
      <c r="K33" s="120"/>
      <c r="L33" s="110"/>
      <c r="P33" s="119"/>
    </row>
    <row r="34" spans="1:19">
      <c r="A34" s="115"/>
      <c r="E34" s="118"/>
      <c r="G34" s="105"/>
      <c r="H34" s="105"/>
      <c r="I34" s="110"/>
      <c r="J34" s="110"/>
      <c r="S34" s="105"/>
    </row>
    <row r="35" spans="1:19">
      <c r="G35" s="105"/>
      <c r="H35" s="105"/>
      <c r="I35" s="110"/>
      <c r="J35" s="110"/>
      <c r="K35" s="117"/>
    </row>
    <row r="36" spans="1:19">
      <c r="G36" s="105"/>
      <c r="H36" s="105"/>
      <c r="I36" s="110"/>
      <c r="J36" s="110"/>
      <c r="K36" s="116"/>
    </row>
    <row r="37" spans="1:19">
      <c r="A37" s="115"/>
      <c r="G37" s="105"/>
      <c r="H37" s="105"/>
      <c r="I37" s="110"/>
      <c r="J37" s="110"/>
      <c r="S37" s="105"/>
    </row>
    <row r="38" spans="1:19">
      <c r="G38" s="105"/>
      <c r="H38" s="105"/>
      <c r="I38" s="110"/>
      <c r="J38" s="114"/>
    </row>
    <row r="39" spans="1:19">
      <c r="G39" s="105"/>
      <c r="H39" s="105"/>
      <c r="I39" s="110"/>
      <c r="J39" s="114"/>
    </row>
    <row r="40" spans="1:19">
      <c r="G40" s="105"/>
      <c r="H40" s="105"/>
      <c r="I40" s="110"/>
      <c r="J40" s="111"/>
    </row>
    <row r="41" spans="1:19">
      <c r="G41" s="105"/>
      <c r="H41" s="105"/>
      <c r="I41" s="110"/>
      <c r="J41" s="114"/>
    </row>
    <row r="42" spans="1:19">
      <c r="G42" s="105"/>
      <c r="H42" s="105"/>
      <c r="I42" s="110"/>
      <c r="J42" s="114"/>
    </row>
    <row r="43" spans="1:19">
      <c r="G43" s="105"/>
      <c r="H43" s="105"/>
      <c r="I43" s="110"/>
      <c r="J43" s="114"/>
    </row>
    <row r="44" spans="1:19">
      <c r="G44" s="105"/>
      <c r="H44" s="105"/>
      <c r="I44" s="110"/>
      <c r="J44" s="110"/>
    </row>
    <row r="45" spans="1:19">
      <c r="G45" s="113"/>
      <c r="H45" s="113"/>
      <c r="I45" s="112"/>
      <c r="J45" s="112"/>
    </row>
    <row r="46" spans="1:19">
      <c r="G46" s="105"/>
      <c r="H46" s="105"/>
      <c r="I46" s="110"/>
      <c r="J46" s="111"/>
    </row>
    <row r="47" spans="1:19">
      <c r="G47" s="105"/>
      <c r="H47" s="105"/>
      <c r="I47" s="110"/>
    </row>
    <row r="48" spans="1:19">
      <c r="G48" s="105"/>
      <c r="H48" s="105"/>
      <c r="I48" s="110"/>
      <c r="J48" s="110"/>
    </row>
    <row r="49" spans="7:9">
      <c r="G49" s="105"/>
      <c r="H49" s="105"/>
      <c r="I49" s="110"/>
    </row>
  </sheetData>
  <mergeCells count="7">
    <mergeCell ref="B26:Q26"/>
    <mergeCell ref="B2:Q2"/>
    <mergeCell ref="B3:B4"/>
    <mergeCell ref="C3:C4"/>
    <mergeCell ref="D3:I3"/>
    <mergeCell ref="J3:O3"/>
    <mergeCell ref="P3:Q3"/>
  </mergeCells>
  <dataValidations disablePrompts="1" count="1">
    <dataValidation allowBlank="1" sqref="G32:H49 JC32:JD49 SY32:SZ49 ACU32:ACV49 AMQ32:AMR49 AWM32:AWN49 BGI32:BGJ49 BQE32:BQF49 CAA32:CAB49 CJW32:CJX49 CTS32:CTT49 DDO32:DDP49 DNK32:DNL49 DXG32:DXH49 EHC32:EHD49 EQY32:EQZ49 FAU32:FAV49 FKQ32:FKR49 FUM32:FUN49 GEI32:GEJ49 GOE32:GOF49 GYA32:GYB49 HHW32:HHX49 HRS32:HRT49 IBO32:IBP49 ILK32:ILL49 IVG32:IVH49 JFC32:JFD49 JOY32:JOZ49 JYU32:JYV49 KIQ32:KIR49 KSM32:KSN49 LCI32:LCJ49 LME32:LMF49 LWA32:LWB49 MFW32:MFX49 MPS32:MPT49 MZO32:MZP49 NJK32:NJL49 NTG32:NTH49 ODC32:ODD49 OMY32:OMZ49 OWU32:OWV49 PGQ32:PGR49 PQM32:PQN49 QAI32:QAJ49 QKE32:QKF49 QUA32:QUB49 RDW32:RDX49 RNS32:RNT49 RXO32:RXP49 SHK32:SHL49 SRG32:SRH49 TBC32:TBD49 TKY32:TKZ49 TUU32:TUV49 UEQ32:UER49 UOM32:UON49 UYI32:UYJ49 VIE32:VIF49 VSA32:VSB49 WBW32:WBX49 WLS32:WLT49 WVO32:WVP49 G65568:H65585 JC65568:JD65585 SY65568:SZ65585 ACU65568:ACV65585 AMQ65568:AMR65585 AWM65568:AWN65585 BGI65568:BGJ65585 BQE65568:BQF65585 CAA65568:CAB65585 CJW65568:CJX65585 CTS65568:CTT65585 DDO65568:DDP65585 DNK65568:DNL65585 DXG65568:DXH65585 EHC65568:EHD65585 EQY65568:EQZ65585 FAU65568:FAV65585 FKQ65568:FKR65585 FUM65568:FUN65585 GEI65568:GEJ65585 GOE65568:GOF65585 GYA65568:GYB65585 HHW65568:HHX65585 HRS65568:HRT65585 IBO65568:IBP65585 ILK65568:ILL65585 IVG65568:IVH65585 JFC65568:JFD65585 JOY65568:JOZ65585 JYU65568:JYV65585 KIQ65568:KIR65585 KSM65568:KSN65585 LCI65568:LCJ65585 LME65568:LMF65585 LWA65568:LWB65585 MFW65568:MFX65585 MPS65568:MPT65585 MZO65568:MZP65585 NJK65568:NJL65585 NTG65568:NTH65585 ODC65568:ODD65585 OMY65568:OMZ65585 OWU65568:OWV65585 PGQ65568:PGR65585 PQM65568:PQN65585 QAI65568:QAJ65585 QKE65568:QKF65585 QUA65568:QUB65585 RDW65568:RDX65585 RNS65568:RNT65585 RXO65568:RXP65585 SHK65568:SHL65585 SRG65568:SRH65585 TBC65568:TBD65585 TKY65568:TKZ65585 TUU65568:TUV65585 UEQ65568:UER65585 UOM65568:UON65585 UYI65568:UYJ65585 VIE65568:VIF65585 VSA65568:VSB65585 WBW65568:WBX65585 WLS65568:WLT65585 WVO65568:WVP65585 G131104:H131121 JC131104:JD131121 SY131104:SZ131121 ACU131104:ACV131121 AMQ131104:AMR131121 AWM131104:AWN131121 BGI131104:BGJ131121 BQE131104:BQF131121 CAA131104:CAB131121 CJW131104:CJX131121 CTS131104:CTT131121 DDO131104:DDP131121 DNK131104:DNL131121 DXG131104:DXH131121 EHC131104:EHD131121 EQY131104:EQZ131121 FAU131104:FAV131121 FKQ131104:FKR131121 FUM131104:FUN131121 GEI131104:GEJ131121 GOE131104:GOF131121 GYA131104:GYB131121 HHW131104:HHX131121 HRS131104:HRT131121 IBO131104:IBP131121 ILK131104:ILL131121 IVG131104:IVH131121 JFC131104:JFD131121 JOY131104:JOZ131121 JYU131104:JYV131121 KIQ131104:KIR131121 KSM131104:KSN131121 LCI131104:LCJ131121 LME131104:LMF131121 LWA131104:LWB131121 MFW131104:MFX131121 MPS131104:MPT131121 MZO131104:MZP131121 NJK131104:NJL131121 NTG131104:NTH131121 ODC131104:ODD131121 OMY131104:OMZ131121 OWU131104:OWV131121 PGQ131104:PGR131121 PQM131104:PQN131121 QAI131104:QAJ131121 QKE131104:QKF131121 QUA131104:QUB131121 RDW131104:RDX131121 RNS131104:RNT131121 RXO131104:RXP131121 SHK131104:SHL131121 SRG131104:SRH131121 TBC131104:TBD131121 TKY131104:TKZ131121 TUU131104:TUV131121 UEQ131104:UER131121 UOM131104:UON131121 UYI131104:UYJ131121 VIE131104:VIF131121 VSA131104:VSB131121 WBW131104:WBX131121 WLS131104:WLT131121 WVO131104:WVP131121 G196640:H196657 JC196640:JD196657 SY196640:SZ196657 ACU196640:ACV196657 AMQ196640:AMR196657 AWM196640:AWN196657 BGI196640:BGJ196657 BQE196640:BQF196657 CAA196640:CAB196657 CJW196640:CJX196657 CTS196640:CTT196657 DDO196640:DDP196657 DNK196640:DNL196657 DXG196640:DXH196657 EHC196640:EHD196657 EQY196640:EQZ196657 FAU196640:FAV196657 FKQ196640:FKR196657 FUM196640:FUN196657 GEI196640:GEJ196657 GOE196640:GOF196657 GYA196640:GYB196657 HHW196640:HHX196657 HRS196640:HRT196657 IBO196640:IBP196657 ILK196640:ILL196657 IVG196640:IVH196657 JFC196640:JFD196657 JOY196640:JOZ196657 JYU196640:JYV196657 KIQ196640:KIR196657 KSM196640:KSN196657 LCI196640:LCJ196657 LME196640:LMF196657 LWA196640:LWB196657 MFW196640:MFX196657 MPS196640:MPT196657 MZO196640:MZP196657 NJK196640:NJL196657 NTG196640:NTH196657 ODC196640:ODD196657 OMY196640:OMZ196657 OWU196640:OWV196657 PGQ196640:PGR196657 PQM196640:PQN196657 QAI196640:QAJ196657 QKE196640:QKF196657 QUA196640:QUB196657 RDW196640:RDX196657 RNS196640:RNT196657 RXO196640:RXP196657 SHK196640:SHL196657 SRG196640:SRH196657 TBC196640:TBD196657 TKY196640:TKZ196657 TUU196640:TUV196657 UEQ196640:UER196657 UOM196640:UON196657 UYI196640:UYJ196657 VIE196640:VIF196657 VSA196640:VSB196657 WBW196640:WBX196657 WLS196640:WLT196657 WVO196640:WVP196657 G262176:H262193 JC262176:JD262193 SY262176:SZ262193 ACU262176:ACV262193 AMQ262176:AMR262193 AWM262176:AWN262193 BGI262176:BGJ262193 BQE262176:BQF262193 CAA262176:CAB262193 CJW262176:CJX262193 CTS262176:CTT262193 DDO262176:DDP262193 DNK262176:DNL262193 DXG262176:DXH262193 EHC262176:EHD262193 EQY262176:EQZ262193 FAU262176:FAV262193 FKQ262176:FKR262193 FUM262176:FUN262193 GEI262176:GEJ262193 GOE262176:GOF262193 GYA262176:GYB262193 HHW262176:HHX262193 HRS262176:HRT262193 IBO262176:IBP262193 ILK262176:ILL262193 IVG262176:IVH262193 JFC262176:JFD262193 JOY262176:JOZ262193 JYU262176:JYV262193 KIQ262176:KIR262193 KSM262176:KSN262193 LCI262176:LCJ262193 LME262176:LMF262193 LWA262176:LWB262193 MFW262176:MFX262193 MPS262176:MPT262193 MZO262176:MZP262193 NJK262176:NJL262193 NTG262176:NTH262193 ODC262176:ODD262193 OMY262176:OMZ262193 OWU262176:OWV262193 PGQ262176:PGR262193 PQM262176:PQN262193 QAI262176:QAJ262193 QKE262176:QKF262193 QUA262176:QUB262193 RDW262176:RDX262193 RNS262176:RNT262193 RXO262176:RXP262193 SHK262176:SHL262193 SRG262176:SRH262193 TBC262176:TBD262193 TKY262176:TKZ262193 TUU262176:TUV262193 UEQ262176:UER262193 UOM262176:UON262193 UYI262176:UYJ262193 VIE262176:VIF262193 VSA262176:VSB262193 WBW262176:WBX262193 WLS262176:WLT262193 WVO262176:WVP262193 G327712:H327729 JC327712:JD327729 SY327712:SZ327729 ACU327712:ACV327729 AMQ327712:AMR327729 AWM327712:AWN327729 BGI327712:BGJ327729 BQE327712:BQF327729 CAA327712:CAB327729 CJW327712:CJX327729 CTS327712:CTT327729 DDO327712:DDP327729 DNK327712:DNL327729 DXG327712:DXH327729 EHC327712:EHD327729 EQY327712:EQZ327729 FAU327712:FAV327729 FKQ327712:FKR327729 FUM327712:FUN327729 GEI327712:GEJ327729 GOE327712:GOF327729 GYA327712:GYB327729 HHW327712:HHX327729 HRS327712:HRT327729 IBO327712:IBP327729 ILK327712:ILL327729 IVG327712:IVH327729 JFC327712:JFD327729 JOY327712:JOZ327729 JYU327712:JYV327729 KIQ327712:KIR327729 KSM327712:KSN327729 LCI327712:LCJ327729 LME327712:LMF327729 LWA327712:LWB327729 MFW327712:MFX327729 MPS327712:MPT327729 MZO327712:MZP327729 NJK327712:NJL327729 NTG327712:NTH327729 ODC327712:ODD327729 OMY327712:OMZ327729 OWU327712:OWV327729 PGQ327712:PGR327729 PQM327712:PQN327729 QAI327712:QAJ327729 QKE327712:QKF327729 QUA327712:QUB327729 RDW327712:RDX327729 RNS327712:RNT327729 RXO327712:RXP327729 SHK327712:SHL327729 SRG327712:SRH327729 TBC327712:TBD327729 TKY327712:TKZ327729 TUU327712:TUV327729 UEQ327712:UER327729 UOM327712:UON327729 UYI327712:UYJ327729 VIE327712:VIF327729 VSA327712:VSB327729 WBW327712:WBX327729 WLS327712:WLT327729 WVO327712:WVP327729 G393248:H393265 JC393248:JD393265 SY393248:SZ393265 ACU393248:ACV393265 AMQ393248:AMR393265 AWM393248:AWN393265 BGI393248:BGJ393265 BQE393248:BQF393265 CAA393248:CAB393265 CJW393248:CJX393265 CTS393248:CTT393265 DDO393248:DDP393265 DNK393248:DNL393265 DXG393248:DXH393265 EHC393248:EHD393265 EQY393248:EQZ393265 FAU393248:FAV393265 FKQ393248:FKR393265 FUM393248:FUN393265 GEI393248:GEJ393265 GOE393248:GOF393265 GYA393248:GYB393265 HHW393248:HHX393265 HRS393248:HRT393265 IBO393248:IBP393265 ILK393248:ILL393265 IVG393248:IVH393265 JFC393248:JFD393265 JOY393248:JOZ393265 JYU393248:JYV393265 KIQ393248:KIR393265 KSM393248:KSN393265 LCI393248:LCJ393265 LME393248:LMF393265 LWA393248:LWB393265 MFW393248:MFX393265 MPS393248:MPT393265 MZO393248:MZP393265 NJK393248:NJL393265 NTG393248:NTH393265 ODC393248:ODD393265 OMY393248:OMZ393265 OWU393248:OWV393265 PGQ393248:PGR393265 PQM393248:PQN393265 QAI393248:QAJ393265 QKE393248:QKF393265 QUA393248:QUB393265 RDW393248:RDX393265 RNS393248:RNT393265 RXO393248:RXP393265 SHK393248:SHL393265 SRG393248:SRH393265 TBC393248:TBD393265 TKY393248:TKZ393265 TUU393248:TUV393265 UEQ393248:UER393265 UOM393248:UON393265 UYI393248:UYJ393265 VIE393248:VIF393265 VSA393248:VSB393265 WBW393248:WBX393265 WLS393248:WLT393265 WVO393248:WVP393265 G458784:H458801 JC458784:JD458801 SY458784:SZ458801 ACU458784:ACV458801 AMQ458784:AMR458801 AWM458784:AWN458801 BGI458784:BGJ458801 BQE458784:BQF458801 CAA458784:CAB458801 CJW458784:CJX458801 CTS458784:CTT458801 DDO458784:DDP458801 DNK458784:DNL458801 DXG458784:DXH458801 EHC458784:EHD458801 EQY458784:EQZ458801 FAU458784:FAV458801 FKQ458784:FKR458801 FUM458784:FUN458801 GEI458784:GEJ458801 GOE458784:GOF458801 GYA458784:GYB458801 HHW458784:HHX458801 HRS458784:HRT458801 IBO458784:IBP458801 ILK458784:ILL458801 IVG458784:IVH458801 JFC458784:JFD458801 JOY458784:JOZ458801 JYU458784:JYV458801 KIQ458784:KIR458801 KSM458784:KSN458801 LCI458784:LCJ458801 LME458784:LMF458801 LWA458784:LWB458801 MFW458784:MFX458801 MPS458784:MPT458801 MZO458784:MZP458801 NJK458784:NJL458801 NTG458784:NTH458801 ODC458784:ODD458801 OMY458784:OMZ458801 OWU458784:OWV458801 PGQ458784:PGR458801 PQM458784:PQN458801 QAI458784:QAJ458801 QKE458784:QKF458801 QUA458784:QUB458801 RDW458784:RDX458801 RNS458784:RNT458801 RXO458784:RXP458801 SHK458784:SHL458801 SRG458784:SRH458801 TBC458784:TBD458801 TKY458784:TKZ458801 TUU458784:TUV458801 UEQ458784:UER458801 UOM458784:UON458801 UYI458784:UYJ458801 VIE458784:VIF458801 VSA458784:VSB458801 WBW458784:WBX458801 WLS458784:WLT458801 WVO458784:WVP458801 G524320:H524337 JC524320:JD524337 SY524320:SZ524337 ACU524320:ACV524337 AMQ524320:AMR524337 AWM524320:AWN524337 BGI524320:BGJ524337 BQE524320:BQF524337 CAA524320:CAB524337 CJW524320:CJX524337 CTS524320:CTT524337 DDO524320:DDP524337 DNK524320:DNL524337 DXG524320:DXH524337 EHC524320:EHD524337 EQY524320:EQZ524337 FAU524320:FAV524337 FKQ524320:FKR524337 FUM524320:FUN524337 GEI524320:GEJ524337 GOE524320:GOF524337 GYA524320:GYB524337 HHW524320:HHX524337 HRS524320:HRT524337 IBO524320:IBP524337 ILK524320:ILL524337 IVG524320:IVH524337 JFC524320:JFD524337 JOY524320:JOZ524337 JYU524320:JYV524337 KIQ524320:KIR524337 KSM524320:KSN524337 LCI524320:LCJ524337 LME524320:LMF524337 LWA524320:LWB524337 MFW524320:MFX524337 MPS524320:MPT524337 MZO524320:MZP524337 NJK524320:NJL524337 NTG524320:NTH524337 ODC524320:ODD524337 OMY524320:OMZ524337 OWU524320:OWV524337 PGQ524320:PGR524337 PQM524320:PQN524337 QAI524320:QAJ524337 QKE524320:QKF524337 QUA524320:QUB524337 RDW524320:RDX524337 RNS524320:RNT524337 RXO524320:RXP524337 SHK524320:SHL524337 SRG524320:SRH524337 TBC524320:TBD524337 TKY524320:TKZ524337 TUU524320:TUV524337 UEQ524320:UER524337 UOM524320:UON524337 UYI524320:UYJ524337 VIE524320:VIF524337 VSA524320:VSB524337 WBW524320:WBX524337 WLS524320:WLT524337 WVO524320:WVP524337 G589856:H589873 JC589856:JD589873 SY589856:SZ589873 ACU589856:ACV589873 AMQ589856:AMR589873 AWM589856:AWN589873 BGI589856:BGJ589873 BQE589856:BQF589873 CAA589856:CAB589873 CJW589856:CJX589873 CTS589856:CTT589873 DDO589856:DDP589873 DNK589856:DNL589873 DXG589856:DXH589873 EHC589856:EHD589873 EQY589856:EQZ589873 FAU589856:FAV589873 FKQ589856:FKR589873 FUM589856:FUN589873 GEI589856:GEJ589873 GOE589856:GOF589873 GYA589856:GYB589873 HHW589856:HHX589873 HRS589856:HRT589873 IBO589856:IBP589873 ILK589856:ILL589873 IVG589856:IVH589873 JFC589856:JFD589873 JOY589856:JOZ589873 JYU589856:JYV589873 KIQ589856:KIR589873 KSM589856:KSN589873 LCI589856:LCJ589873 LME589856:LMF589873 LWA589856:LWB589873 MFW589856:MFX589873 MPS589856:MPT589873 MZO589856:MZP589873 NJK589856:NJL589873 NTG589856:NTH589873 ODC589856:ODD589873 OMY589856:OMZ589873 OWU589856:OWV589873 PGQ589856:PGR589873 PQM589856:PQN589873 QAI589856:QAJ589873 QKE589856:QKF589873 QUA589856:QUB589873 RDW589856:RDX589873 RNS589856:RNT589873 RXO589856:RXP589873 SHK589856:SHL589873 SRG589856:SRH589873 TBC589856:TBD589873 TKY589856:TKZ589873 TUU589856:TUV589873 UEQ589856:UER589873 UOM589856:UON589873 UYI589856:UYJ589873 VIE589856:VIF589873 VSA589856:VSB589873 WBW589856:WBX589873 WLS589856:WLT589873 WVO589856:WVP589873 G655392:H655409 JC655392:JD655409 SY655392:SZ655409 ACU655392:ACV655409 AMQ655392:AMR655409 AWM655392:AWN655409 BGI655392:BGJ655409 BQE655392:BQF655409 CAA655392:CAB655409 CJW655392:CJX655409 CTS655392:CTT655409 DDO655392:DDP655409 DNK655392:DNL655409 DXG655392:DXH655409 EHC655392:EHD655409 EQY655392:EQZ655409 FAU655392:FAV655409 FKQ655392:FKR655409 FUM655392:FUN655409 GEI655392:GEJ655409 GOE655392:GOF655409 GYA655392:GYB655409 HHW655392:HHX655409 HRS655392:HRT655409 IBO655392:IBP655409 ILK655392:ILL655409 IVG655392:IVH655409 JFC655392:JFD655409 JOY655392:JOZ655409 JYU655392:JYV655409 KIQ655392:KIR655409 KSM655392:KSN655409 LCI655392:LCJ655409 LME655392:LMF655409 LWA655392:LWB655409 MFW655392:MFX655409 MPS655392:MPT655409 MZO655392:MZP655409 NJK655392:NJL655409 NTG655392:NTH655409 ODC655392:ODD655409 OMY655392:OMZ655409 OWU655392:OWV655409 PGQ655392:PGR655409 PQM655392:PQN655409 QAI655392:QAJ655409 QKE655392:QKF655409 QUA655392:QUB655409 RDW655392:RDX655409 RNS655392:RNT655409 RXO655392:RXP655409 SHK655392:SHL655409 SRG655392:SRH655409 TBC655392:TBD655409 TKY655392:TKZ655409 TUU655392:TUV655409 UEQ655392:UER655409 UOM655392:UON655409 UYI655392:UYJ655409 VIE655392:VIF655409 VSA655392:VSB655409 WBW655392:WBX655409 WLS655392:WLT655409 WVO655392:WVP655409 G720928:H720945 JC720928:JD720945 SY720928:SZ720945 ACU720928:ACV720945 AMQ720928:AMR720945 AWM720928:AWN720945 BGI720928:BGJ720945 BQE720928:BQF720945 CAA720928:CAB720945 CJW720928:CJX720945 CTS720928:CTT720945 DDO720928:DDP720945 DNK720928:DNL720945 DXG720928:DXH720945 EHC720928:EHD720945 EQY720928:EQZ720945 FAU720928:FAV720945 FKQ720928:FKR720945 FUM720928:FUN720945 GEI720928:GEJ720945 GOE720928:GOF720945 GYA720928:GYB720945 HHW720928:HHX720945 HRS720928:HRT720945 IBO720928:IBP720945 ILK720928:ILL720945 IVG720928:IVH720945 JFC720928:JFD720945 JOY720928:JOZ720945 JYU720928:JYV720945 KIQ720928:KIR720945 KSM720928:KSN720945 LCI720928:LCJ720945 LME720928:LMF720945 LWA720928:LWB720945 MFW720928:MFX720945 MPS720928:MPT720945 MZO720928:MZP720945 NJK720928:NJL720945 NTG720928:NTH720945 ODC720928:ODD720945 OMY720928:OMZ720945 OWU720928:OWV720945 PGQ720928:PGR720945 PQM720928:PQN720945 QAI720928:QAJ720945 QKE720928:QKF720945 QUA720928:QUB720945 RDW720928:RDX720945 RNS720928:RNT720945 RXO720928:RXP720945 SHK720928:SHL720945 SRG720928:SRH720945 TBC720928:TBD720945 TKY720928:TKZ720945 TUU720928:TUV720945 UEQ720928:UER720945 UOM720928:UON720945 UYI720928:UYJ720945 VIE720928:VIF720945 VSA720928:VSB720945 WBW720928:WBX720945 WLS720928:WLT720945 WVO720928:WVP720945 G786464:H786481 JC786464:JD786481 SY786464:SZ786481 ACU786464:ACV786481 AMQ786464:AMR786481 AWM786464:AWN786481 BGI786464:BGJ786481 BQE786464:BQF786481 CAA786464:CAB786481 CJW786464:CJX786481 CTS786464:CTT786481 DDO786464:DDP786481 DNK786464:DNL786481 DXG786464:DXH786481 EHC786464:EHD786481 EQY786464:EQZ786481 FAU786464:FAV786481 FKQ786464:FKR786481 FUM786464:FUN786481 GEI786464:GEJ786481 GOE786464:GOF786481 GYA786464:GYB786481 HHW786464:HHX786481 HRS786464:HRT786481 IBO786464:IBP786481 ILK786464:ILL786481 IVG786464:IVH786481 JFC786464:JFD786481 JOY786464:JOZ786481 JYU786464:JYV786481 KIQ786464:KIR786481 KSM786464:KSN786481 LCI786464:LCJ786481 LME786464:LMF786481 LWA786464:LWB786481 MFW786464:MFX786481 MPS786464:MPT786481 MZO786464:MZP786481 NJK786464:NJL786481 NTG786464:NTH786481 ODC786464:ODD786481 OMY786464:OMZ786481 OWU786464:OWV786481 PGQ786464:PGR786481 PQM786464:PQN786481 QAI786464:QAJ786481 QKE786464:QKF786481 QUA786464:QUB786481 RDW786464:RDX786481 RNS786464:RNT786481 RXO786464:RXP786481 SHK786464:SHL786481 SRG786464:SRH786481 TBC786464:TBD786481 TKY786464:TKZ786481 TUU786464:TUV786481 UEQ786464:UER786481 UOM786464:UON786481 UYI786464:UYJ786481 VIE786464:VIF786481 VSA786464:VSB786481 WBW786464:WBX786481 WLS786464:WLT786481 WVO786464:WVP786481 G852000:H852017 JC852000:JD852017 SY852000:SZ852017 ACU852000:ACV852017 AMQ852000:AMR852017 AWM852000:AWN852017 BGI852000:BGJ852017 BQE852000:BQF852017 CAA852000:CAB852017 CJW852000:CJX852017 CTS852000:CTT852017 DDO852000:DDP852017 DNK852000:DNL852017 DXG852000:DXH852017 EHC852000:EHD852017 EQY852000:EQZ852017 FAU852000:FAV852017 FKQ852000:FKR852017 FUM852000:FUN852017 GEI852000:GEJ852017 GOE852000:GOF852017 GYA852000:GYB852017 HHW852000:HHX852017 HRS852000:HRT852017 IBO852000:IBP852017 ILK852000:ILL852017 IVG852000:IVH852017 JFC852000:JFD852017 JOY852000:JOZ852017 JYU852000:JYV852017 KIQ852000:KIR852017 KSM852000:KSN852017 LCI852000:LCJ852017 LME852000:LMF852017 LWA852000:LWB852017 MFW852000:MFX852017 MPS852000:MPT852017 MZO852000:MZP852017 NJK852000:NJL852017 NTG852000:NTH852017 ODC852000:ODD852017 OMY852000:OMZ852017 OWU852000:OWV852017 PGQ852000:PGR852017 PQM852000:PQN852017 QAI852000:QAJ852017 QKE852000:QKF852017 QUA852000:QUB852017 RDW852000:RDX852017 RNS852000:RNT852017 RXO852000:RXP852017 SHK852000:SHL852017 SRG852000:SRH852017 TBC852000:TBD852017 TKY852000:TKZ852017 TUU852000:TUV852017 UEQ852000:UER852017 UOM852000:UON852017 UYI852000:UYJ852017 VIE852000:VIF852017 VSA852000:VSB852017 WBW852000:WBX852017 WLS852000:WLT852017 WVO852000:WVP852017 G917536:H917553 JC917536:JD917553 SY917536:SZ917553 ACU917536:ACV917553 AMQ917536:AMR917553 AWM917536:AWN917553 BGI917536:BGJ917553 BQE917536:BQF917553 CAA917536:CAB917553 CJW917536:CJX917553 CTS917536:CTT917553 DDO917536:DDP917553 DNK917536:DNL917553 DXG917536:DXH917553 EHC917536:EHD917553 EQY917536:EQZ917553 FAU917536:FAV917553 FKQ917536:FKR917553 FUM917536:FUN917553 GEI917536:GEJ917553 GOE917536:GOF917553 GYA917536:GYB917553 HHW917536:HHX917553 HRS917536:HRT917553 IBO917536:IBP917553 ILK917536:ILL917553 IVG917536:IVH917553 JFC917536:JFD917553 JOY917536:JOZ917553 JYU917536:JYV917553 KIQ917536:KIR917553 KSM917536:KSN917553 LCI917536:LCJ917553 LME917536:LMF917553 LWA917536:LWB917553 MFW917536:MFX917553 MPS917536:MPT917553 MZO917536:MZP917553 NJK917536:NJL917553 NTG917536:NTH917553 ODC917536:ODD917553 OMY917536:OMZ917553 OWU917536:OWV917553 PGQ917536:PGR917553 PQM917536:PQN917553 QAI917536:QAJ917553 QKE917536:QKF917553 QUA917536:QUB917553 RDW917536:RDX917553 RNS917536:RNT917553 RXO917536:RXP917553 SHK917536:SHL917553 SRG917536:SRH917553 TBC917536:TBD917553 TKY917536:TKZ917553 TUU917536:TUV917553 UEQ917536:UER917553 UOM917536:UON917553 UYI917536:UYJ917553 VIE917536:VIF917553 VSA917536:VSB917553 WBW917536:WBX917553 WLS917536:WLT917553 WVO917536:WVP917553 G983072:H983089 JC983072:JD983089 SY983072:SZ983089 ACU983072:ACV983089 AMQ983072:AMR983089 AWM983072:AWN983089 BGI983072:BGJ983089 BQE983072:BQF983089 CAA983072:CAB983089 CJW983072:CJX983089 CTS983072:CTT983089 DDO983072:DDP983089 DNK983072:DNL983089 DXG983072:DXH983089 EHC983072:EHD983089 EQY983072:EQZ983089 FAU983072:FAV983089 FKQ983072:FKR983089 FUM983072:FUN983089 GEI983072:GEJ983089 GOE983072:GOF983089 GYA983072:GYB983089 HHW983072:HHX983089 HRS983072:HRT983089 IBO983072:IBP983089 ILK983072:ILL983089 IVG983072:IVH983089 JFC983072:JFD983089 JOY983072:JOZ983089 JYU983072:JYV983089 KIQ983072:KIR983089 KSM983072:KSN983089 LCI983072:LCJ983089 LME983072:LMF983089 LWA983072:LWB983089 MFW983072:MFX983089 MPS983072:MPT983089 MZO983072:MZP983089 NJK983072:NJL983089 NTG983072:NTH983089 ODC983072:ODD983089 OMY983072:OMZ983089 OWU983072:OWV983089 PGQ983072:PGR983089 PQM983072:PQN983089 QAI983072:QAJ983089 QKE983072:QKF983089 QUA983072:QUB983089 RDW983072:RDX983089 RNS983072:RNT983089 RXO983072:RXP983089 SHK983072:SHL983089 SRG983072:SRH983089 TBC983072:TBD983089 TKY983072:TKZ983089 TUU983072:TUV983089 UEQ983072:UER983089 UOM983072:UON983089 UYI983072:UYJ983089 VIE983072:VIF983089 VSA983072:VSB983089 WBW983072:WBX983089 WLS983072:WLT983089 WVO983072:WVP983089"/>
  </dataValidations>
  <printOptions horizontalCentered="1" verticalCentered="1"/>
  <pageMargins left="0.31496062992126" right="0.35433070866141703" top="1.14173228346457" bottom="0.59055118110236204" header="1.1811023622047201" footer="0.31496062992126"/>
  <pageSetup paperSize="9" scale="75" orientation="landscape" r:id="rId1"/>
  <headerFooter alignWithMargins="0">
    <oddHeader>&amp;C&amp;"Times New Roman,Bold"&amp;16SOUTHERN POWER DISTRIBUTION COMPANY OF TELANGANA LTD.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142"/>
  <sheetViews>
    <sheetView workbookViewId="0">
      <selection activeCell="H93" sqref="H93"/>
    </sheetView>
  </sheetViews>
  <sheetFormatPr defaultColWidth="9.140625" defaultRowHeight="16.5"/>
  <cols>
    <col min="1" max="1" width="5" style="34" customWidth="1"/>
    <col min="2" max="2" width="12" style="34" bestFit="1" customWidth="1"/>
    <col min="3" max="3" width="9.28515625" style="34" customWidth="1"/>
    <col min="4" max="4" width="48.140625" style="34" customWidth="1"/>
    <col min="5" max="5" width="9.140625" style="93" hidden="1" customWidth="1"/>
    <col min="6" max="6" width="9.28515625" style="34" hidden="1" customWidth="1"/>
    <col min="7" max="7" width="12.7109375" style="34" hidden="1" customWidth="1"/>
    <col min="8" max="8" width="18.7109375" style="34" customWidth="1"/>
    <col min="9" max="9" width="21" style="34" hidden="1" customWidth="1"/>
    <col min="10" max="12" width="17.85546875" style="34" hidden="1" customWidth="1"/>
    <col min="13" max="13" width="20" style="34" customWidth="1"/>
    <col min="14" max="15" width="25.7109375" style="33" customWidth="1"/>
    <col min="16" max="16" width="6.42578125" style="34" customWidth="1"/>
    <col min="17" max="17" width="23.7109375" style="34" hidden="1" customWidth="1"/>
    <col min="18" max="18" width="18.42578125" style="34" hidden="1" customWidth="1"/>
    <col min="19" max="19" width="19.85546875" style="34" hidden="1" customWidth="1"/>
    <col min="20" max="20" width="11.5703125" style="34" hidden="1" customWidth="1"/>
    <col min="21" max="21" width="16.85546875" style="34" hidden="1" customWidth="1"/>
    <col min="22" max="22" width="14.28515625" style="34" hidden="1" customWidth="1"/>
    <col min="23" max="26" width="9.140625" style="34" hidden="1" customWidth="1"/>
    <col min="27" max="27" width="19.85546875" style="34" hidden="1" customWidth="1"/>
    <col min="28" max="28" width="9.140625" style="34" hidden="1" customWidth="1"/>
    <col min="29" max="29" width="18.42578125" style="34" hidden="1" customWidth="1"/>
    <col min="30" max="30" width="19.85546875" style="34" hidden="1" customWidth="1"/>
    <col min="31" max="31" width="14.7109375" style="34" hidden="1" customWidth="1"/>
    <col min="32" max="32" width="48.140625" style="34" bestFit="1" customWidth="1"/>
    <col min="33" max="33" width="15.7109375" style="34" bestFit="1" customWidth="1"/>
    <col min="34" max="34" width="19.85546875" style="34" bestFit="1" customWidth="1"/>
    <col min="35" max="35" width="11.42578125" style="34" bestFit="1" customWidth="1"/>
    <col min="36" max="36" width="18.7109375" style="34" bestFit="1" customWidth="1"/>
    <col min="37" max="38" width="9.140625" style="34" customWidth="1"/>
    <col min="39" max="39" width="12.28515625" style="34" bestFit="1" customWidth="1"/>
    <col min="40" max="16384" width="9.140625" style="34"/>
  </cols>
  <sheetData>
    <row r="1" spans="1:36" ht="18.75">
      <c r="A1" s="178" t="s">
        <v>167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36" ht="18.75">
      <c r="A2" s="179" t="s">
        <v>168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36" s="35" customFormat="1" ht="59.45" customHeight="1">
      <c r="A3" s="358" t="s">
        <v>169</v>
      </c>
      <c r="B3" s="358" t="s">
        <v>170</v>
      </c>
      <c r="C3" s="358" t="s">
        <v>171</v>
      </c>
      <c r="D3" s="361" t="s">
        <v>172</v>
      </c>
      <c r="E3" s="358" t="s">
        <v>173</v>
      </c>
      <c r="F3" s="361" t="s">
        <v>174</v>
      </c>
      <c r="G3" s="358" t="s">
        <v>175</v>
      </c>
      <c r="H3" s="364" t="s">
        <v>176</v>
      </c>
      <c r="I3" s="358" t="s">
        <v>177</v>
      </c>
      <c r="J3" s="358" t="s">
        <v>178</v>
      </c>
      <c r="K3" s="358" t="s">
        <v>179</v>
      </c>
      <c r="L3" s="358" t="s">
        <v>180</v>
      </c>
      <c r="M3" s="358" t="s">
        <v>181</v>
      </c>
      <c r="N3" s="364" t="s">
        <v>182</v>
      </c>
      <c r="O3" s="364" t="s">
        <v>183</v>
      </c>
    </row>
    <row r="4" spans="1:36" s="35" customFormat="1" ht="30" hidden="1" customHeight="1">
      <c r="A4" s="359"/>
      <c r="B4" s="359"/>
      <c r="C4" s="359"/>
      <c r="D4" s="362"/>
      <c r="E4" s="359"/>
      <c r="F4" s="362"/>
      <c r="G4" s="359"/>
      <c r="H4" s="364"/>
      <c r="I4" s="359"/>
      <c r="J4" s="359"/>
      <c r="K4" s="359"/>
      <c r="L4" s="359"/>
      <c r="M4" s="359"/>
      <c r="N4" s="364"/>
      <c r="O4" s="364"/>
    </row>
    <row r="5" spans="1:36" s="35" customFormat="1" ht="48.75" hidden="1" customHeight="1">
      <c r="A5" s="360"/>
      <c r="B5" s="360"/>
      <c r="C5" s="360"/>
      <c r="D5" s="363"/>
      <c r="E5" s="360"/>
      <c r="F5" s="363"/>
      <c r="G5" s="360"/>
      <c r="H5" s="364"/>
      <c r="I5" s="360"/>
      <c r="J5" s="360"/>
      <c r="K5" s="360"/>
      <c r="L5" s="360"/>
      <c r="M5" s="360"/>
      <c r="N5" s="364"/>
      <c r="O5" s="364"/>
    </row>
    <row r="6" spans="1:36" hidden="1">
      <c r="A6" s="36" t="s">
        <v>184</v>
      </c>
      <c r="B6" s="36" t="s">
        <v>185</v>
      </c>
      <c r="C6" s="37" t="s">
        <v>186</v>
      </c>
      <c r="D6" s="37" t="s">
        <v>186</v>
      </c>
      <c r="E6" s="37"/>
      <c r="F6" s="36" t="s">
        <v>187</v>
      </c>
      <c r="G6" s="36" t="s">
        <v>188</v>
      </c>
      <c r="H6" s="38" t="s">
        <v>189</v>
      </c>
      <c r="I6" s="36" t="s">
        <v>190</v>
      </c>
      <c r="J6" s="36" t="s">
        <v>191</v>
      </c>
      <c r="K6" s="36" t="s">
        <v>192</v>
      </c>
      <c r="L6" s="38" t="s">
        <v>193</v>
      </c>
      <c r="M6" s="38" t="s">
        <v>194</v>
      </c>
      <c r="N6" s="38" t="s">
        <v>195</v>
      </c>
      <c r="O6" s="38" t="s">
        <v>196</v>
      </c>
    </row>
    <row r="7" spans="1:36" ht="17.100000000000001" customHeight="1">
      <c r="A7" s="39">
        <v>1</v>
      </c>
      <c r="B7" s="365">
        <v>5303100</v>
      </c>
      <c r="C7" s="40">
        <v>11001</v>
      </c>
      <c r="D7" s="41" t="s">
        <v>197</v>
      </c>
      <c r="E7" s="368" t="s">
        <v>198</v>
      </c>
      <c r="F7" s="42"/>
      <c r="G7" s="43"/>
      <c r="H7" s="44">
        <v>1384486830</v>
      </c>
      <c r="I7" s="44">
        <v>0</v>
      </c>
      <c r="J7" s="44">
        <v>0</v>
      </c>
      <c r="K7" s="44">
        <v>0</v>
      </c>
      <c r="L7" s="44">
        <v>0</v>
      </c>
      <c r="M7" s="44">
        <f t="shared" ref="M7:M28" si="0">H7+I7-J7+K7-L7</f>
        <v>1384486830</v>
      </c>
      <c r="N7" s="40" t="s">
        <v>199</v>
      </c>
      <c r="O7" s="40" t="s">
        <v>200</v>
      </c>
      <c r="W7" s="34">
        <v>11252</v>
      </c>
      <c r="AH7" s="45"/>
    </row>
    <row r="8" spans="1:36" ht="17.100000000000001" customHeight="1">
      <c r="A8" s="39">
        <v>2</v>
      </c>
      <c r="B8" s="366"/>
      <c r="C8" s="40">
        <v>11002</v>
      </c>
      <c r="D8" s="41" t="s">
        <v>197</v>
      </c>
      <c r="E8" s="369"/>
      <c r="F8" s="46"/>
      <c r="G8" s="43"/>
      <c r="H8" s="44">
        <v>-353326480</v>
      </c>
      <c r="I8" s="44">
        <v>0</v>
      </c>
      <c r="J8" s="44">
        <v>0</v>
      </c>
      <c r="K8" s="44">
        <v>0</v>
      </c>
      <c r="L8" s="44">
        <v>0</v>
      </c>
      <c r="M8" s="44">
        <f t="shared" si="0"/>
        <v>-353326480</v>
      </c>
      <c r="N8" s="40" t="s">
        <v>199</v>
      </c>
      <c r="O8" s="40" t="s">
        <v>200</v>
      </c>
      <c r="AF8" s="45"/>
      <c r="AH8" s="45"/>
    </row>
    <row r="9" spans="1:36" ht="17.100000000000001" customHeight="1">
      <c r="A9" s="39">
        <v>3</v>
      </c>
      <c r="B9" s="366"/>
      <c r="C9" s="47">
        <v>11003</v>
      </c>
      <c r="D9" s="48" t="s">
        <v>201</v>
      </c>
      <c r="E9" s="369"/>
      <c r="F9" s="46"/>
      <c r="G9" s="43">
        <v>100.99</v>
      </c>
      <c r="H9" s="44">
        <v>808648411</v>
      </c>
      <c r="I9" s="44">
        <f>180500000+41890</f>
        <v>180541890</v>
      </c>
      <c r="J9" s="44">
        <v>8211</v>
      </c>
      <c r="K9" s="44">
        <v>0</v>
      </c>
      <c r="L9" s="44">
        <v>0</v>
      </c>
      <c r="M9" s="44">
        <f t="shared" si="0"/>
        <v>989182090</v>
      </c>
      <c r="N9" s="40" t="s">
        <v>199</v>
      </c>
      <c r="O9" s="40" t="s">
        <v>200</v>
      </c>
      <c r="AA9" s="49" t="s">
        <v>202</v>
      </c>
      <c r="AC9" s="49" t="s">
        <v>203</v>
      </c>
      <c r="AD9" s="49" t="s">
        <v>204</v>
      </c>
      <c r="AH9" s="45"/>
      <c r="AJ9" s="45"/>
    </row>
    <row r="10" spans="1:36" ht="17.100000000000001" customHeight="1">
      <c r="A10" s="39">
        <v>4</v>
      </c>
      <c r="B10" s="366"/>
      <c r="C10" s="40">
        <v>11007</v>
      </c>
      <c r="D10" s="41" t="s">
        <v>197</v>
      </c>
      <c r="E10" s="369"/>
      <c r="F10" s="46"/>
      <c r="G10" s="43"/>
      <c r="H10" s="44">
        <v>10382174580.01</v>
      </c>
      <c r="I10" s="44">
        <v>0</v>
      </c>
      <c r="J10" s="44">
        <v>2061140591</v>
      </c>
      <c r="K10" s="44">
        <v>0</v>
      </c>
      <c r="L10" s="44">
        <v>0</v>
      </c>
      <c r="M10" s="44">
        <f>H10+I10-J10+K10+L10</f>
        <v>8321033989.0100002</v>
      </c>
      <c r="N10" s="40" t="s">
        <v>199</v>
      </c>
      <c r="O10" s="40" t="s">
        <v>200</v>
      </c>
      <c r="R10" s="45">
        <f>Q10-M10</f>
        <v>-8321033989.0100002</v>
      </c>
      <c r="S10" s="50">
        <v>103565278</v>
      </c>
      <c r="T10" s="34" t="s">
        <v>205</v>
      </c>
      <c r="U10" s="51">
        <v>48286856</v>
      </c>
      <c r="AA10" s="50">
        <v>9990907798</v>
      </c>
      <c r="AC10" s="51">
        <v>16894820</v>
      </c>
      <c r="AD10" s="51">
        <v>103565278</v>
      </c>
      <c r="AE10" s="34" t="s">
        <v>206</v>
      </c>
      <c r="AF10" s="51"/>
      <c r="AH10" s="51"/>
    </row>
    <row r="11" spans="1:36" ht="17.100000000000001" customHeight="1">
      <c r="A11" s="39">
        <v>5</v>
      </c>
      <c r="B11" s="366"/>
      <c r="C11" s="40">
        <v>11253</v>
      </c>
      <c r="D11" s="41" t="s">
        <v>207</v>
      </c>
      <c r="E11" s="369"/>
      <c r="F11" s="46"/>
      <c r="G11" s="43">
        <v>527.33000000000004</v>
      </c>
      <c r="H11" s="44">
        <v>2640138765</v>
      </c>
      <c r="I11" s="44">
        <v>0</v>
      </c>
      <c r="J11" s="44">
        <v>340672597</v>
      </c>
      <c r="K11" s="44">
        <v>0</v>
      </c>
      <c r="L11" s="44">
        <v>0</v>
      </c>
      <c r="M11" s="44">
        <f t="shared" si="0"/>
        <v>2299466168</v>
      </c>
      <c r="N11" s="40" t="s">
        <v>199</v>
      </c>
      <c r="O11" s="40" t="s">
        <v>200</v>
      </c>
      <c r="S11" s="50">
        <v>6674506075</v>
      </c>
      <c r="T11" s="34" t="s">
        <v>208</v>
      </c>
      <c r="U11" s="51">
        <v>11883788645</v>
      </c>
      <c r="AA11" s="50">
        <v>11883788645</v>
      </c>
      <c r="AC11" s="51">
        <v>7857498538</v>
      </c>
      <c r="AD11" s="51">
        <v>6674506075</v>
      </c>
      <c r="AE11" s="34" t="s">
        <v>208</v>
      </c>
      <c r="AF11" s="52"/>
      <c r="AH11" s="45"/>
    </row>
    <row r="12" spans="1:36" ht="17.100000000000001" customHeight="1">
      <c r="A12" s="39">
        <v>6</v>
      </c>
      <c r="B12" s="366"/>
      <c r="C12" s="40">
        <v>11254</v>
      </c>
      <c r="D12" s="41" t="s">
        <v>209</v>
      </c>
      <c r="E12" s="369"/>
      <c r="F12" s="46"/>
      <c r="G12" s="43">
        <v>616.76</v>
      </c>
      <c r="H12" s="44">
        <v>4247568566.0900002</v>
      </c>
      <c r="I12" s="44">
        <v>0</v>
      </c>
      <c r="J12" s="44">
        <v>553976225</v>
      </c>
      <c r="K12" s="44">
        <v>0</v>
      </c>
      <c r="L12" s="44">
        <v>0</v>
      </c>
      <c r="M12" s="44">
        <f t="shared" si="0"/>
        <v>3693592341.0900002</v>
      </c>
      <c r="N12" s="40" t="s">
        <v>199</v>
      </c>
      <c r="O12" s="40" t="s">
        <v>200</v>
      </c>
      <c r="Q12" s="45"/>
      <c r="S12" s="50">
        <v>85098757</v>
      </c>
      <c r="T12" s="34" t="s">
        <v>210</v>
      </c>
      <c r="U12" s="51"/>
      <c r="AA12" s="50">
        <v>642193564</v>
      </c>
      <c r="AC12" s="51">
        <v>0</v>
      </c>
      <c r="AD12" s="51">
        <v>79018495</v>
      </c>
      <c r="AE12" s="34" t="s">
        <v>211</v>
      </c>
      <c r="AF12" s="53"/>
      <c r="AH12" s="45"/>
    </row>
    <row r="13" spans="1:36" ht="17.100000000000001" customHeight="1">
      <c r="A13" s="39">
        <v>7</v>
      </c>
      <c r="B13" s="366"/>
      <c r="C13" s="40">
        <v>11255</v>
      </c>
      <c r="D13" s="41" t="s">
        <v>212</v>
      </c>
      <c r="E13" s="369"/>
      <c r="F13" s="46"/>
      <c r="G13" s="43">
        <v>203.43</v>
      </c>
      <c r="H13" s="44">
        <v>1625316160</v>
      </c>
      <c r="I13" s="44">
        <v>0</v>
      </c>
      <c r="J13" s="44">
        <v>167247756</v>
      </c>
      <c r="K13" s="44">
        <v>0</v>
      </c>
      <c r="L13" s="44">
        <v>0</v>
      </c>
      <c r="M13" s="44">
        <f t="shared" si="0"/>
        <v>1458068404</v>
      </c>
      <c r="N13" s="40" t="s">
        <v>199</v>
      </c>
      <c r="O13" s="40" t="s">
        <v>200</v>
      </c>
      <c r="S13" s="50">
        <f>SUM(S10:S12)</f>
        <v>6863170110</v>
      </c>
      <c r="U13" s="51">
        <v>6500000000</v>
      </c>
      <c r="AC13" s="51">
        <v>6500000000</v>
      </c>
      <c r="AD13" s="51">
        <v>0</v>
      </c>
      <c r="AE13" s="34" t="s">
        <v>213</v>
      </c>
      <c r="AF13" s="45"/>
      <c r="AH13" s="45"/>
    </row>
    <row r="14" spans="1:36">
      <c r="A14" s="39">
        <v>8</v>
      </c>
      <c r="B14" s="366"/>
      <c r="C14" s="40">
        <v>11259</v>
      </c>
      <c r="D14" s="41" t="s">
        <v>214</v>
      </c>
      <c r="E14" s="369"/>
      <c r="F14" s="46"/>
      <c r="G14" s="43">
        <v>305.66000000000003</v>
      </c>
      <c r="H14" s="44">
        <v>2714458068</v>
      </c>
      <c r="I14" s="54">
        <v>143112600</v>
      </c>
      <c r="J14" s="44">
        <v>189859495</v>
      </c>
      <c r="K14" s="44">
        <v>0</v>
      </c>
      <c r="L14" s="44">
        <v>0</v>
      </c>
      <c r="M14" s="44">
        <f t="shared" si="0"/>
        <v>2667711173</v>
      </c>
      <c r="N14" s="40" t="s">
        <v>199</v>
      </c>
      <c r="O14" s="40" t="s">
        <v>200</v>
      </c>
      <c r="AC14" s="51">
        <v>8211</v>
      </c>
      <c r="AD14" s="51">
        <v>0</v>
      </c>
      <c r="AE14" s="34" t="s">
        <v>215</v>
      </c>
      <c r="AF14" s="45"/>
      <c r="AH14" s="45"/>
    </row>
    <row r="15" spans="1:36">
      <c r="A15" s="39">
        <v>9</v>
      </c>
      <c r="B15" s="366"/>
      <c r="C15" s="40">
        <v>11260</v>
      </c>
      <c r="D15" s="41" t="s">
        <v>216</v>
      </c>
      <c r="E15" s="369"/>
      <c r="F15" s="46"/>
      <c r="G15" s="43"/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f t="shared" si="0"/>
        <v>0</v>
      </c>
      <c r="N15" s="40" t="s">
        <v>199</v>
      </c>
      <c r="O15" s="40" t="s">
        <v>200</v>
      </c>
      <c r="AC15" s="51"/>
      <c r="AD15" s="51"/>
      <c r="AF15" s="55"/>
      <c r="AH15" s="45"/>
    </row>
    <row r="16" spans="1:36">
      <c r="A16" s="39">
        <v>10</v>
      </c>
      <c r="B16" s="366"/>
      <c r="C16" s="40">
        <v>11266</v>
      </c>
      <c r="D16" s="41" t="s">
        <v>217</v>
      </c>
      <c r="E16" s="369"/>
      <c r="F16" s="46"/>
      <c r="G16" s="43">
        <v>794.13</v>
      </c>
      <c r="H16" s="44">
        <v>6750054225.3299999</v>
      </c>
      <c r="I16" s="44">
        <f>9873400+137012925.58</f>
        <v>146886325.58000001</v>
      </c>
      <c r="J16" s="44">
        <v>454154737</v>
      </c>
      <c r="K16" s="44">
        <v>0</v>
      </c>
      <c r="L16" s="44">
        <v>0</v>
      </c>
      <c r="M16" s="44">
        <f t="shared" si="0"/>
        <v>6442785813.9099998</v>
      </c>
      <c r="N16" s="40" t="s">
        <v>199</v>
      </c>
      <c r="O16" s="40" t="s">
        <v>200</v>
      </c>
      <c r="AC16" s="51"/>
      <c r="AD16" s="51"/>
      <c r="AH16" s="45"/>
    </row>
    <row r="17" spans="1:39">
      <c r="A17" s="39">
        <v>11</v>
      </c>
      <c r="B17" s="366"/>
      <c r="C17" s="40">
        <v>11270</v>
      </c>
      <c r="D17" s="41" t="s">
        <v>218</v>
      </c>
      <c r="E17" s="369"/>
      <c r="F17" s="46"/>
      <c r="G17" s="43">
        <v>179.04</v>
      </c>
      <c r="H17" s="44">
        <v>1446401500</v>
      </c>
      <c r="I17" s="44">
        <f>16640500+41632266.14</f>
        <v>58272766.140000001</v>
      </c>
      <c r="J17" s="44">
        <v>11435244</v>
      </c>
      <c r="K17" s="44">
        <v>0</v>
      </c>
      <c r="L17" s="44">
        <v>0</v>
      </c>
      <c r="M17" s="44">
        <f t="shared" si="0"/>
        <v>1493239022.1400001</v>
      </c>
      <c r="N17" s="40" t="s">
        <v>199</v>
      </c>
      <c r="O17" s="40" t="s">
        <v>200</v>
      </c>
      <c r="AC17" s="51"/>
      <c r="AD17" s="51"/>
      <c r="AF17" s="56"/>
      <c r="AH17" s="45"/>
    </row>
    <row r="18" spans="1:39">
      <c r="A18" s="39">
        <v>12</v>
      </c>
      <c r="B18" s="366"/>
      <c r="C18" s="40">
        <v>11272</v>
      </c>
      <c r="D18" s="41" t="s">
        <v>219</v>
      </c>
      <c r="E18" s="369"/>
      <c r="F18" s="46"/>
      <c r="G18" s="43">
        <v>216.68</v>
      </c>
      <c r="H18" s="44">
        <v>560590800</v>
      </c>
      <c r="I18" s="44">
        <f>67416600+38131500</f>
        <v>105548100</v>
      </c>
      <c r="J18" s="44">
        <v>0</v>
      </c>
      <c r="K18" s="44">
        <v>0</v>
      </c>
      <c r="L18" s="44">
        <v>0</v>
      </c>
      <c r="M18" s="44">
        <f t="shared" si="0"/>
        <v>666138900</v>
      </c>
      <c r="N18" s="40" t="s">
        <v>199</v>
      </c>
      <c r="O18" s="40" t="s">
        <v>200</v>
      </c>
      <c r="AC18" s="51"/>
      <c r="AD18" s="51"/>
      <c r="AF18" s="56"/>
      <c r="AH18" s="45"/>
    </row>
    <row r="19" spans="1:39" ht="16.5" customHeight="1">
      <c r="A19" s="39">
        <v>13</v>
      </c>
      <c r="B19" s="366"/>
      <c r="C19" s="40">
        <v>11273</v>
      </c>
      <c r="D19" s="41" t="s">
        <v>220</v>
      </c>
      <c r="E19" s="369"/>
      <c r="F19" s="46"/>
      <c r="G19" s="43">
        <v>603.78</v>
      </c>
      <c r="H19" s="44">
        <v>4429463000</v>
      </c>
      <c r="I19" s="44">
        <v>0</v>
      </c>
      <c r="J19" s="44">
        <v>0</v>
      </c>
      <c r="K19" s="44">
        <v>0</v>
      </c>
      <c r="L19" s="44">
        <v>0</v>
      </c>
      <c r="M19" s="44">
        <f t="shared" si="0"/>
        <v>4429463000</v>
      </c>
      <c r="N19" s="40" t="s">
        <v>199</v>
      </c>
      <c r="O19" s="40" t="s">
        <v>200</v>
      </c>
      <c r="AC19" s="51"/>
      <c r="AD19" s="51"/>
      <c r="AF19" s="56"/>
      <c r="AH19" s="45"/>
    </row>
    <row r="20" spans="1:39" ht="16.5" customHeight="1">
      <c r="A20" s="39">
        <v>14</v>
      </c>
      <c r="B20" s="366"/>
      <c r="C20" s="40">
        <v>11128</v>
      </c>
      <c r="D20" s="57" t="s">
        <v>221</v>
      </c>
      <c r="E20" s="369"/>
      <c r="F20" s="46"/>
      <c r="G20" s="43">
        <v>611.54999999999995</v>
      </c>
      <c r="H20" s="44">
        <v>1275263800</v>
      </c>
      <c r="I20" s="44">
        <v>0</v>
      </c>
      <c r="J20" s="44">
        <v>0</v>
      </c>
      <c r="K20" s="44">
        <v>0</v>
      </c>
      <c r="L20" s="44">
        <v>0</v>
      </c>
      <c r="M20" s="44">
        <f t="shared" si="0"/>
        <v>1275263800</v>
      </c>
      <c r="N20" s="40" t="s">
        <v>199</v>
      </c>
      <c r="O20" s="40" t="s">
        <v>200</v>
      </c>
      <c r="AC20" s="51"/>
      <c r="AD20" s="51"/>
      <c r="AF20" s="56"/>
      <c r="AH20" s="45"/>
    </row>
    <row r="21" spans="1:39">
      <c r="A21" s="39">
        <v>15</v>
      </c>
      <c r="B21" s="366"/>
      <c r="C21" s="40">
        <v>11274</v>
      </c>
      <c r="D21" s="41" t="s">
        <v>220</v>
      </c>
      <c r="E21" s="369"/>
      <c r="F21" s="58"/>
      <c r="G21" s="43">
        <v>289.56</v>
      </c>
      <c r="H21" s="44">
        <v>1001803700</v>
      </c>
      <c r="I21" s="44">
        <f>706128600+688349000</f>
        <v>1394477600</v>
      </c>
      <c r="J21" s="44">
        <v>0</v>
      </c>
      <c r="K21" s="44">
        <v>0</v>
      </c>
      <c r="L21" s="44">
        <v>0</v>
      </c>
      <c r="M21" s="44">
        <f t="shared" si="0"/>
        <v>2396281300</v>
      </c>
      <c r="N21" s="40" t="s">
        <v>199</v>
      </c>
      <c r="O21" s="40" t="s">
        <v>200</v>
      </c>
      <c r="AC21" s="51"/>
      <c r="AD21" s="51"/>
      <c r="AF21" s="56"/>
      <c r="AH21" s="45"/>
    </row>
    <row r="22" spans="1:39">
      <c r="A22" s="39">
        <v>16</v>
      </c>
      <c r="B22" s="366"/>
      <c r="C22" s="40">
        <v>11282</v>
      </c>
      <c r="D22" s="41" t="s">
        <v>222</v>
      </c>
      <c r="E22" s="369"/>
      <c r="F22" s="58"/>
      <c r="G22" s="43">
        <v>339.11</v>
      </c>
      <c r="H22" s="44">
        <v>3391058259</v>
      </c>
      <c r="I22" s="44">
        <v>0</v>
      </c>
      <c r="J22" s="44">
        <v>200874744</v>
      </c>
      <c r="K22" s="44">
        <v>0</v>
      </c>
      <c r="L22" s="44">
        <v>0</v>
      </c>
      <c r="M22" s="44">
        <f t="shared" si="0"/>
        <v>3190183515</v>
      </c>
      <c r="N22" s="40" t="s">
        <v>199</v>
      </c>
      <c r="O22" s="40" t="s">
        <v>200</v>
      </c>
      <c r="AC22" s="51"/>
      <c r="AD22" s="51"/>
      <c r="AF22" s="56"/>
      <c r="AH22" s="45"/>
    </row>
    <row r="23" spans="1:39" hidden="1">
      <c r="A23" s="39"/>
      <c r="B23" s="366"/>
      <c r="C23" s="40">
        <v>11286</v>
      </c>
      <c r="D23" s="41" t="s">
        <v>223</v>
      </c>
      <c r="E23" s="370"/>
      <c r="F23" s="58"/>
      <c r="G23" s="43">
        <v>183.47</v>
      </c>
      <c r="H23" s="44">
        <v>0</v>
      </c>
      <c r="I23" s="44">
        <v>236390040.41999999</v>
      </c>
      <c r="J23" s="44">
        <v>0</v>
      </c>
      <c r="K23" s="44">
        <v>0</v>
      </c>
      <c r="L23" s="44">
        <v>0</v>
      </c>
      <c r="M23" s="44">
        <f t="shared" si="0"/>
        <v>236390040.41999999</v>
      </c>
      <c r="N23" s="40"/>
      <c r="O23" s="40"/>
      <c r="AC23" s="51"/>
      <c r="AD23" s="51"/>
      <c r="AF23" s="56"/>
      <c r="AH23" s="45"/>
    </row>
    <row r="24" spans="1:39" ht="17.100000000000001" hidden="1" customHeight="1">
      <c r="A24" s="39">
        <v>17</v>
      </c>
      <c r="B24" s="366"/>
      <c r="C24" s="40">
        <v>11251</v>
      </c>
      <c r="D24" s="41" t="s">
        <v>224</v>
      </c>
      <c r="E24" s="368" t="s">
        <v>213</v>
      </c>
      <c r="F24" s="59"/>
      <c r="G24" s="43">
        <v>300</v>
      </c>
      <c r="H24" s="44">
        <v>3889583335</v>
      </c>
      <c r="I24" s="44">
        <v>0</v>
      </c>
      <c r="J24" s="44">
        <f>1912500000+(212500000*3)</f>
        <v>2550000000</v>
      </c>
      <c r="K24" s="44">
        <v>0</v>
      </c>
      <c r="L24" s="44">
        <v>0</v>
      </c>
      <c r="M24" s="44">
        <f t="shared" si="0"/>
        <v>1339583335</v>
      </c>
      <c r="N24" s="40" t="s">
        <v>225</v>
      </c>
      <c r="O24" s="40" t="s">
        <v>200</v>
      </c>
      <c r="S24" s="50">
        <v>233842062</v>
      </c>
      <c r="T24" s="34" t="s">
        <v>226</v>
      </c>
      <c r="U24" s="51">
        <v>642193564</v>
      </c>
      <c r="AA24" s="50">
        <v>48286856</v>
      </c>
      <c r="AC24" s="51">
        <v>0</v>
      </c>
      <c r="AD24" s="51">
        <v>233842062</v>
      </c>
      <c r="AE24" s="34" t="s">
        <v>226</v>
      </c>
      <c r="AH24" s="45"/>
    </row>
    <row r="25" spans="1:39" ht="17.100000000000001" hidden="1" customHeight="1">
      <c r="A25" s="39">
        <v>18</v>
      </c>
      <c r="B25" s="366"/>
      <c r="C25" s="40">
        <v>11256</v>
      </c>
      <c r="D25" s="41" t="s">
        <v>227</v>
      </c>
      <c r="E25" s="369"/>
      <c r="F25" s="59"/>
      <c r="G25" s="43">
        <v>490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f t="shared" si="0"/>
        <v>0</v>
      </c>
      <c r="N25" s="40" t="s">
        <v>225</v>
      </c>
      <c r="O25" s="40" t="s">
        <v>200</v>
      </c>
      <c r="S25" s="50">
        <v>12381761096</v>
      </c>
      <c r="T25" s="34" t="s">
        <v>228</v>
      </c>
      <c r="U25" s="51">
        <v>9990907798</v>
      </c>
      <c r="AA25" s="50">
        <v>6500000000</v>
      </c>
      <c r="AC25" s="51">
        <v>298362978</v>
      </c>
      <c r="AD25" s="51">
        <v>12381761096</v>
      </c>
      <c r="AE25" s="34" t="s">
        <v>229</v>
      </c>
      <c r="AF25" s="51"/>
      <c r="AH25" s="45"/>
    </row>
    <row r="26" spans="1:39" hidden="1">
      <c r="A26" s="39">
        <v>19</v>
      </c>
      <c r="B26" s="366"/>
      <c r="C26" s="40">
        <v>11267</v>
      </c>
      <c r="D26" s="41" t="s">
        <v>230</v>
      </c>
      <c r="E26" s="369"/>
      <c r="F26" s="59"/>
      <c r="G26" s="43">
        <v>1490</v>
      </c>
      <c r="H26" s="44">
        <v>7522916679</v>
      </c>
      <c r="I26" s="44">
        <v>0</v>
      </c>
      <c r="J26" s="44">
        <v>3725000000</v>
      </c>
      <c r="K26" s="44">
        <v>0</v>
      </c>
      <c r="L26" s="44">
        <v>0</v>
      </c>
      <c r="M26" s="44">
        <f t="shared" si="0"/>
        <v>3797916679</v>
      </c>
      <c r="N26" s="40" t="s">
        <v>225</v>
      </c>
      <c r="O26" s="40" t="s">
        <v>200</v>
      </c>
      <c r="AC26" s="51"/>
      <c r="AD26" s="51"/>
      <c r="AF26" s="45"/>
      <c r="AH26" s="45"/>
    </row>
    <row r="27" spans="1:39" hidden="1">
      <c r="A27" s="39">
        <v>20</v>
      </c>
      <c r="B27" s="366"/>
      <c r="C27" s="39">
        <v>11283</v>
      </c>
      <c r="D27" s="41" t="s">
        <v>231</v>
      </c>
      <c r="E27" s="369"/>
      <c r="F27" s="59"/>
      <c r="G27" s="43">
        <v>438.61</v>
      </c>
      <c r="H27" s="44">
        <v>4317500480</v>
      </c>
      <c r="I27" s="44">
        <v>0</v>
      </c>
      <c r="J27" s="44">
        <v>781488688</v>
      </c>
      <c r="K27" s="44">
        <v>0</v>
      </c>
      <c r="L27" s="44">
        <v>0</v>
      </c>
      <c r="M27" s="44">
        <f t="shared" si="0"/>
        <v>3536011792</v>
      </c>
      <c r="N27" s="40" t="s">
        <v>225</v>
      </c>
      <c r="O27" s="40" t="s">
        <v>200</v>
      </c>
      <c r="AC27" s="51"/>
      <c r="AD27" s="51"/>
      <c r="AF27" s="56"/>
      <c r="AH27" s="45"/>
    </row>
    <row r="28" spans="1:39" hidden="1">
      <c r="A28" s="39">
        <v>21</v>
      </c>
      <c r="B28" s="367"/>
      <c r="C28" s="39">
        <v>11284</v>
      </c>
      <c r="D28" s="60" t="s">
        <v>232</v>
      </c>
      <c r="E28" s="370"/>
      <c r="F28" s="39"/>
      <c r="G28" s="39"/>
      <c r="H28" s="61">
        <v>35465000000</v>
      </c>
      <c r="I28" s="44">
        <v>0</v>
      </c>
      <c r="J28" s="62">
        <v>0</v>
      </c>
      <c r="K28" s="62">
        <v>0</v>
      </c>
      <c r="L28" s="62">
        <v>0</v>
      </c>
      <c r="M28" s="61">
        <f t="shared" si="0"/>
        <v>35465000000</v>
      </c>
      <c r="N28" s="39" t="s">
        <v>225</v>
      </c>
      <c r="O28" s="39" t="s">
        <v>200</v>
      </c>
      <c r="AC28" s="51"/>
      <c r="AD28" s="51"/>
      <c r="AF28" s="56"/>
      <c r="AH28" s="45"/>
    </row>
    <row r="29" spans="1:39" s="67" customFormat="1" ht="21" hidden="1" customHeight="1">
      <c r="A29" s="63"/>
      <c r="B29" s="63"/>
      <c r="C29" s="47"/>
      <c r="D29" s="64" t="s">
        <v>233</v>
      </c>
      <c r="E29" s="63"/>
      <c r="F29" s="64"/>
      <c r="G29" s="65"/>
      <c r="H29" s="66">
        <f t="shared" ref="H29:M29" si="1">SUM(H7:H28)</f>
        <v>93499100678.429993</v>
      </c>
      <c r="I29" s="66">
        <f t="shared" si="1"/>
        <v>2265229322.1399999</v>
      </c>
      <c r="J29" s="66">
        <f t="shared" si="1"/>
        <v>11035858288</v>
      </c>
      <c r="K29" s="66">
        <f t="shared" si="1"/>
        <v>0</v>
      </c>
      <c r="L29" s="66">
        <f t="shared" si="1"/>
        <v>0</v>
      </c>
      <c r="M29" s="66">
        <f t="shared" si="1"/>
        <v>84728471712.569992</v>
      </c>
      <c r="N29" s="47"/>
      <c r="O29" s="47"/>
      <c r="Q29" s="68"/>
      <c r="R29" s="68"/>
      <c r="S29" s="67">
        <v>29074284086.630001</v>
      </c>
      <c r="U29" s="69">
        <f>SUM(U10:U13)</f>
        <v>18432075501</v>
      </c>
      <c r="AA29" s="68">
        <f>SUM(AA10:AA12)</f>
        <v>22516890007</v>
      </c>
      <c r="AC29" s="68">
        <f>SUM(AC10:AC14)</f>
        <v>14374401569</v>
      </c>
      <c r="AD29" s="68">
        <f>SUM(AD10:AD14)</f>
        <v>6857089848</v>
      </c>
      <c r="AF29" s="51"/>
      <c r="AH29" s="69"/>
      <c r="AJ29" s="69"/>
      <c r="AM29" s="69"/>
    </row>
    <row r="30" spans="1:39" ht="17.100000000000001" hidden="1" customHeight="1">
      <c r="A30" s="39"/>
      <c r="B30" s="70"/>
      <c r="C30" s="40"/>
      <c r="D30" s="64"/>
      <c r="E30" s="63"/>
      <c r="F30" s="64"/>
      <c r="G30" s="43"/>
      <c r="H30" s="66"/>
      <c r="I30" s="66"/>
      <c r="J30" s="66"/>
      <c r="K30" s="66"/>
      <c r="L30" s="66"/>
      <c r="M30" s="66"/>
      <c r="N30" s="40"/>
      <c r="O30" s="40"/>
      <c r="S30" s="45">
        <f>M29-S29</f>
        <v>55654187625.939987</v>
      </c>
      <c r="U30" s="45">
        <f>M29-U29</f>
        <v>66296396211.569992</v>
      </c>
      <c r="AF30" s="45"/>
      <c r="AH30" s="51"/>
      <c r="AJ30" s="45"/>
    </row>
    <row r="31" spans="1:39" ht="17.100000000000001" hidden="1" customHeight="1">
      <c r="A31" s="39"/>
      <c r="B31" s="365">
        <v>5303200</v>
      </c>
      <c r="C31" s="39"/>
      <c r="D31" s="48" t="s">
        <v>234</v>
      </c>
      <c r="E31" s="39"/>
      <c r="F31" s="41"/>
      <c r="G31" s="43"/>
      <c r="H31" s="44"/>
      <c r="I31" s="44"/>
      <c r="J31" s="44"/>
      <c r="K31" s="44"/>
      <c r="L31" s="44"/>
      <c r="M31" s="44"/>
      <c r="N31" s="40"/>
      <c r="O31" s="40"/>
      <c r="S31" s="45">
        <f>M29-S29</f>
        <v>55654187625.939987</v>
      </c>
      <c r="AA31" s="56">
        <f>M29-AA29</f>
        <v>62211581705.569992</v>
      </c>
      <c r="AC31" s="56">
        <f>I29-AC29</f>
        <v>-12109172246.860001</v>
      </c>
      <c r="AF31" s="50"/>
      <c r="AH31" s="45"/>
      <c r="AJ31" s="51"/>
    </row>
    <row r="32" spans="1:39" ht="17.100000000000001" customHeight="1">
      <c r="A32" s="39">
        <v>22</v>
      </c>
      <c r="B32" s="366"/>
      <c r="C32" s="39">
        <v>11008</v>
      </c>
      <c r="D32" s="60" t="s">
        <v>206</v>
      </c>
      <c r="E32" s="371" t="s">
        <v>198</v>
      </c>
      <c r="F32" s="39" t="s">
        <v>235</v>
      </c>
      <c r="G32" s="43"/>
      <c r="H32" s="44">
        <v>4340430000</v>
      </c>
      <c r="I32" s="44">
        <v>31200000</v>
      </c>
      <c r="J32" s="44">
        <v>1678400000</v>
      </c>
      <c r="K32" s="44">
        <v>0</v>
      </c>
      <c r="L32" s="44">
        <v>0</v>
      </c>
      <c r="M32" s="44">
        <f t="shared" ref="M32:M39" si="2">H32+I32-J32</f>
        <v>2693230000</v>
      </c>
      <c r="N32" s="40" t="s">
        <v>199</v>
      </c>
      <c r="O32" s="40" t="s">
        <v>200</v>
      </c>
      <c r="P32" s="45"/>
      <c r="Q32" s="52">
        <v>4244153971</v>
      </c>
      <c r="R32" s="52">
        <f>Q32-M32</f>
        <v>1550923971</v>
      </c>
      <c r="AF32" s="56"/>
      <c r="AH32" s="45"/>
    </row>
    <row r="33" spans="1:36" ht="17.100000000000001" customHeight="1">
      <c r="A33" s="39">
        <v>23</v>
      </c>
      <c r="B33" s="366"/>
      <c r="C33" s="71">
        <v>11258</v>
      </c>
      <c r="D33" s="60" t="s">
        <v>236</v>
      </c>
      <c r="E33" s="371"/>
      <c r="F33" s="39"/>
      <c r="G33" s="43"/>
      <c r="H33" s="44">
        <v>1160079751</v>
      </c>
      <c r="I33" s="44">
        <f>232091692+2479541</f>
        <v>234571233</v>
      </c>
      <c r="J33" s="44">
        <f>94485421+229172+4771233</f>
        <v>99485826</v>
      </c>
      <c r="K33" s="44">
        <v>0</v>
      </c>
      <c r="L33" s="44">
        <v>0</v>
      </c>
      <c r="M33" s="44">
        <f t="shared" si="2"/>
        <v>1295165158</v>
      </c>
      <c r="N33" s="40" t="s">
        <v>199</v>
      </c>
      <c r="O33" s="40" t="s">
        <v>200</v>
      </c>
      <c r="P33" s="45"/>
      <c r="AH33" s="56"/>
      <c r="AJ33" s="45"/>
    </row>
    <row r="34" spans="1:36" ht="17.100000000000001" hidden="1" customHeight="1">
      <c r="A34" s="39">
        <v>24</v>
      </c>
      <c r="B34" s="366"/>
      <c r="C34" s="71">
        <v>11264</v>
      </c>
      <c r="D34" s="60" t="s">
        <v>237</v>
      </c>
      <c r="E34" s="368" t="s">
        <v>213</v>
      </c>
      <c r="F34" s="39"/>
      <c r="G34" s="43">
        <v>500</v>
      </c>
      <c r="H34" s="44">
        <v>2500000000</v>
      </c>
      <c r="I34" s="44">
        <v>0</v>
      </c>
      <c r="J34" s="44">
        <v>2500000000</v>
      </c>
      <c r="K34" s="44">
        <v>0</v>
      </c>
      <c r="L34" s="44">
        <v>0</v>
      </c>
      <c r="M34" s="44">
        <f t="shared" si="2"/>
        <v>0</v>
      </c>
      <c r="N34" s="40" t="s">
        <v>225</v>
      </c>
      <c r="O34" s="40" t="s">
        <v>200</v>
      </c>
      <c r="P34" s="45"/>
      <c r="AH34" s="56"/>
    </row>
    <row r="35" spans="1:36" ht="17.100000000000001" hidden="1" customHeight="1">
      <c r="A35" s="39">
        <v>25</v>
      </c>
      <c r="B35" s="366"/>
      <c r="C35" s="71">
        <v>11265</v>
      </c>
      <c r="D35" s="60" t="s">
        <v>238</v>
      </c>
      <c r="E35" s="369"/>
      <c r="F35" s="39"/>
      <c r="G35" s="43">
        <v>500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f t="shared" si="2"/>
        <v>0</v>
      </c>
      <c r="N35" s="40" t="s">
        <v>225</v>
      </c>
      <c r="O35" s="40" t="s">
        <v>200</v>
      </c>
      <c r="P35" s="45"/>
      <c r="AF35" s="56"/>
      <c r="AG35" s="45"/>
      <c r="AH35" s="56"/>
    </row>
    <row r="36" spans="1:36" ht="17.100000000000001" hidden="1" customHeight="1">
      <c r="A36" s="39">
        <v>26</v>
      </c>
      <c r="B36" s="366"/>
      <c r="C36" s="71">
        <v>11268</v>
      </c>
      <c r="D36" s="60" t="s">
        <v>239</v>
      </c>
      <c r="E36" s="369"/>
      <c r="F36" s="39"/>
      <c r="G36" s="43">
        <v>1000</v>
      </c>
      <c r="H36" s="44">
        <v>11779059860</v>
      </c>
      <c r="I36" s="44">
        <v>0</v>
      </c>
      <c r="J36" s="44">
        <v>5891796208</v>
      </c>
      <c r="K36" s="44">
        <v>0</v>
      </c>
      <c r="L36" s="44">
        <v>0</v>
      </c>
      <c r="M36" s="44">
        <f t="shared" si="2"/>
        <v>5887263652</v>
      </c>
      <c r="N36" s="40" t="s">
        <v>225</v>
      </c>
      <c r="O36" s="40" t="s">
        <v>200</v>
      </c>
      <c r="P36" s="45"/>
      <c r="AF36" s="45">
        <f>J36-H34</f>
        <v>3391796208</v>
      </c>
      <c r="AH36" s="56">
        <f>J36/12</f>
        <v>490983017.33333331</v>
      </c>
    </row>
    <row r="37" spans="1:36" ht="17.100000000000001" hidden="1" customHeight="1">
      <c r="A37" s="39">
        <v>27</v>
      </c>
      <c r="B37" s="366"/>
      <c r="C37" s="71">
        <v>11269</v>
      </c>
      <c r="D37" s="60" t="s">
        <v>240</v>
      </c>
      <c r="E37" s="369"/>
      <c r="F37" s="39"/>
      <c r="G37" s="43">
        <v>1000</v>
      </c>
      <c r="H37" s="44">
        <v>8225611095</v>
      </c>
      <c r="I37" s="44">
        <v>0</v>
      </c>
      <c r="J37" s="44">
        <v>3343998492</v>
      </c>
      <c r="K37" s="44">
        <v>0</v>
      </c>
      <c r="L37" s="44">
        <v>0</v>
      </c>
      <c r="M37" s="44">
        <f t="shared" si="2"/>
        <v>4881612603</v>
      </c>
      <c r="N37" s="40" t="s">
        <v>225</v>
      </c>
      <c r="O37" s="40" t="s">
        <v>200</v>
      </c>
      <c r="P37" s="45"/>
      <c r="AH37" s="56">
        <f>J37/12</f>
        <v>278666541</v>
      </c>
    </row>
    <row r="38" spans="1:36" ht="17.100000000000001" customHeight="1">
      <c r="A38" s="39">
        <v>28</v>
      </c>
      <c r="B38" s="366"/>
      <c r="C38" s="71">
        <v>11271</v>
      </c>
      <c r="D38" s="60" t="s">
        <v>241</v>
      </c>
      <c r="E38" s="369"/>
      <c r="F38" s="39"/>
      <c r="G38" s="43"/>
      <c r="H38" s="44">
        <v>5778567</v>
      </c>
      <c r="I38" s="44">
        <v>0</v>
      </c>
      <c r="J38" s="44">
        <v>5778567</v>
      </c>
      <c r="K38" s="44">
        <v>0</v>
      </c>
      <c r="L38" s="44">
        <v>0</v>
      </c>
      <c r="M38" s="44">
        <f t="shared" si="2"/>
        <v>0</v>
      </c>
      <c r="N38" s="40" t="s">
        <v>199</v>
      </c>
      <c r="O38" s="40" t="s">
        <v>200</v>
      </c>
      <c r="P38" s="45"/>
      <c r="AH38" s="56"/>
    </row>
    <row r="39" spans="1:36" ht="17.100000000000001" hidden="1" customHeight="1">
      <c r="A39" s="39">
        <v>29</v>
      </c>
      <c r="B39" s="367"/>
      <c r="C39" s="71">
        <v>11285</v>
      </c>
      <c r="D39" s="41" t="s">
        <v>242</v>
      </c>
      <c r="E39" s="370"/>
      <c r="F39" s="39"/>
      <c r="G39" s="43"/>
      <c r="H39" s="44">
        <v>35854343840</v>
      </c>
      <c r="I39" s="44">
        <v>0</v>
      </c>
      <c r="J39" s="44">
        <v>0</v>
      </c>
      <c r="K39" s="44">
        <v>0</v>
      </c>
      <c r="L39" s="44">
        <v>0</v>
      </c>
      <c r="M39" s="44">
        <f t="shared" si="2"/>
        <v>35854343840</v>
      </c>
      <c r="N39" s="40" t="s">
        <v>225</v>
      </c>
      <c r="O39" s="40" t="s">
        <v>200</v>
      </c>
      <c r="P39" s="45"/>
      <c r="AH39" s="51"/>
    </row>
    <row r="40" spans="1:36" ht="17.100000000000001" hidden="1" customHeight="1">
      <c r="A40" s="39"/>
      <c r="B40" s="39"/>
      <c r="C40" s="39"/>
      <c r="D40" s="64" t="s">
        <v>243</v>
      </c>
      <c r="E40" s="63"/>
      <c r="F40" s="64"/>
      <c r="G40" s="43"/>
      <c r="H40" s="66">
        <f>SUM(H32:H39)</f>
        <v>63865303113</v>
      </c>
      <c r="I40" s="66">
        <f>SUM(I32:I39)</f>
        <v>265771233</v>
      </c>
      <c r="J40" s="66">
        <f>SUM(J32:J39)</f>
        <v>13519459093</v>
      </c>
      <c r="K40" s="66">
        <f>SUM(K32:K39)</f>
        <v>0</v>
      </c>
      <c r="L40" s="66">
        <v>0</v>
      </c>
      <c r="M40" s="66">
        <f>SUM(M32:M39)</f>
        <v>50611615253</v>
      </c>
      <c r="N40" s="40"/>
      <c r="O40" s="40"/>
      <c r="P40" s="45"/>
      <c r="Q40" s="53">
        <f>Q32-M32</f>
        <v>1550923971</v>
      </c>
      <c r="R40" s="53">
        <v>5158365</v>
      </c>
      <c r="S40" s="53">
        <f>2403157-2381948</f>
        <v>21209</v>
      </c>
      <c r="AA40" s="53"/>
      <c r="AC40" s="56"/>
      <c r="AF40" s="52"/>
      <c r="AH40" s="51"/>
    </row>
    <row r="41" spans="1:36" ht="17.100000000000001" hidden="1" customHeight="1">
      <c r="A41" s="39"/>
      <c r="B41" s="70"/>
      <c r="C41" s="39"/>
      <c r="D41" s="64"/>
      <c r="E41" s="63"/>
      <c r="F41" s="64"/>
      <c r="G41" s="43"/>
      <c r="H41" s="66"/>
      <c r="I41" s="66"/>
      <c r="J41" s="66"/>
      <c r="K41" s="66"/>
      <c r="L41" s="66"/>
      <c r="M41" s="66"/>
      <c r="N41" s="40"/>
      <c r="O41" s="40"/>
      <c r="Q41" s="52">
        <v>5179574</v>
      </c>
      <c r="AF41" s="53"/>
      <c r="AH41" s="53"/>
    </row>
    <row r="42" spans="1:36" ht="17.100000000000001" hidden="1" customHeight="1">
      <c r="A42" s="39">
        <v>30</v>
      </c>
      <c r="B42" s="72">
        <v>5303510</v>
      </c>
      <c r="C42" s="39">
        <v>11257</v>
      </c>
      <c r="D42" s="60" t="s">
        <v>244</v>
      </c>
      <c r="E42" s="72" t="s">
        <v>213</v>
      </c>
      <c r="F42" s="64"/>
      <c r="G42" s="43">
        <v>430</v>
      </c>
      <c r="H42" s="44">
        <v>3613431949</v>
      </c>
      <c r="I42" s="44">
        <v>0</v>
      </c>
      <c r="J42" s="44">
        <f>322499988+(35833332*3)</f>
        <v>429999984</v>
      </c>
      <c r="K42" s="44">
        <v>0</v>
      </c>
      <c r="L42" s="44">
        <v>0</v>
      </c>
      <c r="M42" s="44">
        <f>H42+I42-J42</f>
        <v>3183431965</v>
      </c>
      <c r="N42" s="40" t="s">
        <v>225</v>
      </c>
      <c r="O42" s="40" t="s">
        <v>200</v>
      </c>
      <c r="Q42" s="53">
        <f>Q41-Q40</f>
        <v>-1545744397</v>
      </c>
      <c r="R42" s="53">
        <f>R40-R32</f>
        <v>-1545765606</v>
      </c>
      <c r="S42" s="56"/>
      <c r="AF42" s="51"/>
    </row>
    <row r="43" spans="1:36" ht="17.100000000000001" hidden="1" customHeight="1">
      <c r="A43" s="39"/>
      <c r="B43" s="70"/>
      <c r="C43" s="39"/>
      <c r="D43" s="64" t="s">
        <v>245</v>
      </c>
      <c r="E43" s="72"/>
      <c r="F43" s="64"/>
      <c r="G43" s="43"/>
      <c r="H43" s="66">
        <v>3613431949</v>
      </c>
      <c r="I43" s="66">
        <f t="shared" ref="I43:M43" si="3">SUM(I42)</f>
        <v>0</v>
      </c>
      <c r="J43" s="66">
        <f t="shared" si="3"/>
        <v>429999984</v>
      </c>
      <c r="K43" s="66">
        <f t="shared" si="3"/>
        <v>0</v>
      </c>
      <c r="L43" s="66">
        <f t="shared" si="3"/>
        <v>0</v>
      </c>
      <c r="M43" s="66">
        <f t="shared" si="3"/>
        <v>3183431965</v>
      </c>
      <c r="N43" s="40"/>
      <c r="O43" s="40"/>
      <c r="Q43" s="34">
        <v>21209</v>
      </c>
      <c r="AF43" s="51"/>
      <c r="AH43" s="56"/>
    </row>
    <row r="44" spans="1:36" ht="17.100000000000001" hidden="1" customHeight="1">
      <c r="A44" s="39">
        <v>31</v>
      </c>
      <c r="B44" s="72">
        <v>5303530</v>
      </c>
      <c r="C44" s="39">
        <v>11275</v>
      </c>
      <c r="D44" s="60" t="s">
        <v>244</v>
      </c>
      <c r="E44" s="72" t="s">
        <v>213</v>
      </c>
      <c r="F44" s="64"/>
      <c r="G44" s="43">
        <v>450</v>
      </c>
      <c r="H44" s="44">
        <v>8425000000</v>
      </c>
      <c r="I44" s="44">
        <v>7200000000</v>
      </c>
      <c r="J44" s="44">
        <v>4270833338</v>
      </c>
      <c r="K44" s="44"/>
      <c r="L44" s="44">
        <v>0</v>
      </c>
      <c r="M44" s="44">
        <f>H44+I44-J44</f>
        <v>11354166662</v>
      </c>
      <c r="N44" s="40" t="s">
        <v>225</v>
      </c>
      <c r="O44" s="40" t="s">
        <v>200</v>
      </c>
      <c r="Q44" s="53" t="e">
        <f>#REF!-Q43</f>
        <v>#REF!</v>
      </c>
      <c r="R44" s="53">
        <f>R43-R35</f>
        <v>0</v>
      </c>
      <c r="S44" s="56"/>
      <c r="AF44" s="45"/>
    </row>
    <row r="45" spans="1:36" ht="17.100000000000001" hidden="1" customHeight="1">
      <c r="A45" s="39"/>
      <c r="B45" s="70"/>
      <c r="C45" s="39"/>
      <c r="D45" s="64" t="s">
        <v>246</v>
      </c>
      <c r="E45" s="72"/>
      <c r="F45" s="64"/>
      <c r="G45" s="43"/>
      <c r="H45" s="66">
        <f t="shared" ref="H45:M45" si="4">SUM(H44)</f>
        <v>8425000000</v>
      </c>
      <c r="I45" s="66">
        <f t="shared" si="4"/>
        <v>7200000000</v>
      </c>
      <c r="J45" s="66">
        <f t="shared" si="4"/>
        <v>4270833338</v>
      </c>
      <c r="K45" s="66">
        <f t="shared" si="4"/>
        <v>0</v>
      </c>
      <c r="L45" s="66">
        <f t="shared" si="4"/>
        <v>0</v>
      </c>
      <c r="M45" s="66">
        <f t="shared" si="4"/>
        <v>11354166662</v>
      </c>
      <c r="N45" s="40"/>
      <c r="O45" s="40"/>
      <c r="Q45" s="34">
        <v>21209</v>
      </c>
      <c r="AF45" s="53"/>
      <c r="AH45" s="56"/>
    </row>
    <row r="46" spans="1:36" ht="17.100000000000001" hidden="1" customHeight="1">
      <c r="A46" s="39"/>
      <c r="B46" s="70"/>
      <c r="C46" s="39"/>
      <c r="D46" s="64"/>
      <c r="E46" s="72"/>
      <c r="F46" s="64"/>
      <c r="G46" s="43"/>
      <c r="H46" s="66"/>
      <c r="I46" s="66"/>
      <c r="J46" s="66"/>
      <c r="K46" s="66"/>
      <c r="L46" s="66"/>
      <c r="M46" s="66"/>
      <c r="N46" s="40"/>
      <c r="O46" s="40"/>
      <c r="Q46" s="53" t="e">
        <f>Q44-Q45</f>
        <v>#REF!</v>
      </c>
      <c r="AF46" s="45"/>
    </row>
    <row r="47" spans="1:36" ht="17.100000000000001" hidden="1" customHeight="1">
      <c r="A47" s="368">
        <v>32</v>
      </c>
      <c r="B47" s="365">
        <v>5001010</v>
      </c>
      <c r="C47" s="368">
        <v>11013</v>
      </c>
      <c r="D47" s="41" t="s">
        <v>247</v>
      </c>
      <c r="E47" s="371" t="s">
        <v>213</v>
      </c>
      <c r="F47" s="73"/>
      <c r="G47" s="43"/>
      <c r="H47" s="372">
        <v>980932861</v>
      </c>
      <c r="I47" s="44">
        <v>0</v>
      </c>
      <c r="J47" s="44">
        <v>0</v>
      </c>
      <c r="K47" s="74"/>
      <c r="L47" s="74"/>
      <c r="M47" s="386">
        <v>3473249792</v>
      </c>
      <c r="N47" s="375" t="s">
        <v>225</v>
      </c>
      <c r="O47" s="375" t="s">
        <v>200</v>
      </c>
      <c r="AA47" s="53">
        <v>4242397007</v>
      </c>
      <c r="AF47" s="52"/>
      <c r="AH47" s="52"/>
      <c r="AJ47" s="52"/>
    </row>
    <row r="48" spans="1:36" ht="17.100000000000001" hidden="1" customHeight="1">
      <c r="A48" s="370"/>
      <c r="B48" s="367"/>
      <c r="C48" s="370"/>
      <c r="D48" s="41" t="s">
        <v>248</v>
      </c>
      <c r="E48" s="371"/>
      <c r="F48" s="73"/>
      <c r="G48" s="43"/>
      <c r="H48" s="373"/>
      <c r="I48" s="44"/>
      <c r="J48" s="44"/>
      <c r="K48" s="75"/>
      <c r="L48" s="75"/>
      <c r="M48" s="387"/>
      <c r="N48" s="376"/>
      <c r="O48" s="376"/>
      <c r="Q48" s="69"/>
      <c r="R48" s="51"/>
      <c r="T48" s="53"/>
      <c r="U48" s="53"/>
      <c r="V48" s="53"/>
      <c r="AA48" s="50"/>
      <c r="AF48" s="52"/>
      <c r="AH48" s="52"/>
    </row>
    <row r="49" spans="1:36" ht="17.100000000000001" hidden="1" customHeight="1">
      <c r="A49" s="76">
        <v>33</v>
      </c>
      <c r="B49" s="77">
        <v>5001010</v>
      </c>
      <c r="C49" s="78">
        <v>11014</v>
      </c>
      <c r="D49" s="79" t="s">
        <v>249</v>
      </c>
      <c r="E49" s="76" t="s">
        <v>213</v>
      </c>
      <c r="F49" s="80"/>
      <c r="G49" s="81">
        <v>705.5</v>
      </c>
      <c r="H49" s="82">
        <v>2790104503</v>
      </c>
      <c r="I49" s="82">
        <v>3545030512</v>
      </c>
      <c r="J49" s="82">
        <v>798669811</v>
      </c>
      <c r="K49" s="83">
        <v>0</v>
      </c>
      <c r="L49" s="83">
        <v>0</v>
      </c>
      <c r="M49" s="44">
        <f>H49+I49-J49</f>
        <v>5536465204</v>
      </c>
      <c r="N49" s="84" t="s">
        <v>225</v>
      </c>
      <c r="O49" s="84" t="s">
        <v>250</v>
      </c>
      <c r="Q49" s="69"/>
      <c r="R49" s="51"/>
      <c r="T49" s="53"/>
      <c r="U49" s="53"/>
      <c r="V49" s="53"/>
      <c r="AA49" s="50"/>
      <c r="AF49" s="51">
        <v>5536465203</v>
      </c>
      <c r="AG49" s="45"/>
      <c r="AH49" s="52">
        <f>M49-AF49</f>
        <v>1</v>
      </c>
    </row>
    <row r="50" spans="1:36" ht="17.100000000000001" hidden="1" customHeight="1">
      <c r="A50" s="39"/>
      <c r="B50" s="39"/>
      <c r="C50" s="39"/>
      <c r="D50" s="64" t="s">
        <v>251</v>
      </c>
      <c r="E50" s="63"/>
      <c r="F50" s="64"/>
      <c r="G50" s="43"/>
      <c r="H50" s="66">
        <f t="shared" ref="H50:M50" si="5">SUM(H47:H49)</f>
        <v>3771037364</v>
      </c>
      <c r="I50" s="66">
        <f t="shared" si="5"/>
        <v>3545030512</v>
      </c>
      <c r="J50" s="66">
        <f t="shared" si="5"/>
        <v>798669811</v>
      </c>
      <c r="K50" s="66">
        <f t="shared" si="5"/>
        <v>0</v>
      </c>
      <c r="L50" s="66">
        <f t="shared" si="5"/>
        <v>0</v>
      </c>
      <c r="M50" s="66">
        <f t="shared" si="5"/>
        <v>9009714996</v>
      </c>
      <c r="N50" s="40"/>
      <c r="O50" s="40"/>
      <c r="R50" s="45"/>
      <c r="AA50" s="53"/>
      <c r="AF50" s="52"/>
      <c r="AG50" s="52"/>
      <c r="AH50" s="45"/>
      <c r="AJ50" s="53"/>
    </row>
    <row r="51" spans="1:36" ht="17.100000000000001" hidden="1" customHeight="1">
      <c r="A51" s="39"/>
      <c r="B51" s="39"/>
      <c r="C51" s="39"/>
      <c r="D51" s="64"/>
      <c r="E51" s="63"/>
      <c r="F51" s="64"/>
      <c r="G51" s="43"/>
      <c r="H51" s="66"/>
      <c r="I51" s="66"/>
      <c r="J51" s="66"/>
      <c r="K51" s="66"/>
      <c r="L51" s="66"/>
      <c r="M51" s="66"/>
      <c r="N51" s="40"/>
      <c r="O51" s="40"/>
      <c r="AA51" s="56"/>
      <c r="AF51" s="52"/>
      <c r="AG51" s="45"/>
      <c r="AH51" s="53"/>
    </row>
    <row r="52" spans="1:36" ht="17.100000000000001" customHeight="1">
      <c r="A52" s="39">
        <v>34</v>
      </c>
      <c r="B52" s="63">
        <v>5303300</v>
      </c>
      <c r="C52" s="39">
        <v>11011</v>
      </c>
      <c r="D52" s="41" t="s">
        <v>252</v>
      </c>
      <c r="E52" s="39" t="s">
        <v>198</v>
      </c>
      <c r="F52" s="41"/>
      <c r="G52" s="43"/>
      <c r="H52" s="44">
        <v>205553775</v>
      </c>
      <c r="I52" s="44">
        <v>0</v>
      </c>
      <c r="J52" s="44">
        <v>0</v>
      </c>
      <c r="K52" s="44">
        <v>0</v>
      </c>
      <c r="L52" s="44">
        <v>0</v>
      </c>
      <c r="M52" s="44">
        <f>H52+I52-J52</f>
        <v>205553775</v>
      </c>
      <c r="N52" s="40" t="s">
        <v>199</v>
      </c>
      <c r="O52" s="40" t="s">
        <v>253</v>
      </c>
      <c r="Q52" s="56"/>
      <c r="AG52" s="52"/>
      <c r="AJ52" s="53"/>
    </row>
    <row r="53" spans="1:36" ht="24.75" customHeight="1">
      <c r="A53" s="39">
        <v>35</v>
      </c>
      <c r="B53" s="63">
        <v>5302100</v>
      </c>
      <c r="C53" s="39">
        <v>11252</v>
      </c>
      <c r="D53" s="41" t="s">
        <v>254</v>
      </c>
      <c r="E53" s="39" t="s">
        <v>198</v>
      </c>
      <c r="F53" s="41"/>
      <c r="G53" s="43"/>
      <c r="H53" s="44">
        <v>3847274000</v>
      </c>
      <c r="I53" s="44">
        <v>0</v>
      </c>
      <c r="J53" s="44">
        <v>0</v>
      </c>
      <c r="K53" s="44">
        <v>0</v>
      </c>
      <c r="L53" s="44">
        <v>0</v>
      </c>
      <c r="M53" s="44">
        <f>H53+I53-J53</f>
        <v>3847274000</v>
      </c>
      <c r="N53" s="40" t="s">
        <v>199</v>
      </c>
      <c r="O53" s="40" t="s">
        <v>253</v>
      </c>
      <c r="S53" s="53"/>
      <c r="AA53" s="50">
        <v>3439058503</v>
      </c>
      <c r="AC53" s="34">
        <v>3542875603</v>
      </c>
      <c r="AF53" s="45"/>
      <c r="AG53" s="45"/>
      <c r="AH53" s="53"/>
    </row>
    <row r="54" spans="1:36" ht="17.100000000000001" hidden="1" customHeight="1">
      <c r="A54" s="39"/>
      <c r="B54" s="39"/>
      <c r="C54" s="39"/>
      <c r="D54" s="64" t="s">
        <v>255</v>
      </c>
      <c r="E54" s="63"/>
      <c r="F54" s="64"/>
      <c r="G54" s="43"/>
      <c r="H54" s="66">
        <f t="shared" ref="H54:M54" si="6">SUM(H52:H53)</f>
        <v>4052827775</v>
      </c>
      <c r="I54" s="66">
        <f t="shared" si="6"/>
        <v>0</v>
      </c>
      <c r="J54" s="66">
        <f t="shared" si="6"/>
        <v>0</v>
      </c>
      <c r="K54" s="66">
        <f t="shared" si="6"/>
        <v>0</v>
      </c>
      <c r="L54" s="66">
        <f t="shared" si="6"/>
        <v>0</v>
      </c>
      <c r="M54" s="66">
        <f t="shared" si="6"/>
        <v>4052827775</v>
      </c>
      <c r="N54" s="40"/>
      <c r="O54" s="40"/>
      <c r="AA54" s="53">
        <v>3412572995</v>
      </c>
      <c r="AC54" s="34">
        <v>3502616020</v>
      </c>
    </row>
    <row r="55" spans="1:36" ht="17.100000000000001" hidden="1" customHeight="1">
      <c r="A55" s="39"/>
      <c r="B55" s="39"/>
      <c r="C55" s="39"/>
      <c r="D55" s="64" t="s">
        <v>256</v>
      </c>
      <c r="E55" s="63"/>
      <c r="F55" s="64"/>
      <c r="G55" s="43"/>
      <c r="H55" s="66">
        <f>H29+H40+H43+H45+H50+H54</f>
        <v>177226700879.42999</v>
      </c>
      <c r="I55" s="66">
        <f>I29+I40+I43+I45+I50+I54</f>
        <v>13276031067.139999</v>
      </c>
      <c r="J55" s="66">
        <f>J29+J40+J43+J45+J50+J54</f>
        <v>30054820514</v>
      </c>
      <c r="K55" s="66">
        <f>K29+K40+K43+K50+K54</f>
        <v>0</v>
      </c>
      <c r="L55" s="66">
        <f>L29+L40+L43+L50+L54</f>
        <v>0</v>
      </c>
      <c r="M55" s="66">
        <f>M29+M40+M43+M45+M50+M54</f>
        <v>162940228363.57001</v>
      </c>
      <c r="N55" s="40"/>
      <c r="O55" s="40"/>
      <c r="Q55" s="85"/>
      <c r="AC55" s="34">
        <f>AC53-AC54</f>
        <v>40259583</v>
      </c>
      <c r="AG55" s="45"/>
    </row>
    <row r="56" spans="1:36" ht="17.100000000000001" hidden="1" customHeight="1">
      <c r="A56" s="39"/>
      <c r="B56" s="70"/>
      <c r="C56" s="39"/>
      <c r="D56" s="64"/>
      <c r="E56" s="63"/>
      <c r="F56" s="64"/>
      <c r="G56" s="43"/>
      <c r="H56" s="66"/>
      <c r="I56" s="66"/>
      <c r="J56" s="66"/>
      <c r="K56" s="66"/>
      <c r="L56" s="66"/>
      <c r="M56" s="66"/>
      <c r="N56" s="40"/>
      <c r="O56" s="40"/>
      <c r="Q56" s="86"/>
      <c r="AA56" s="56">
        <f>AA53-AA54</f>
        <v>26485508</v>
      </c>
    </row>
    <row r="57" spans="1:36" ht="17.100000000000001" hidden="1" customHeight="1">
      <c r="A57" s="39">
        <v>36</v>
      </c>
      <c r="B57" s="365">
        <v>5301300</v>
      </c>
      <c r="C57" s="39">
        <v>11240</v>
      </c>
      <c r="D57" s="41" t="s">
        <v>257</v>
      </c>
      <c r="E57" s="368" t="s">
        <v>213</v>
      </c>
      <c r="F57" s="87" t="s">
        <v>235</v>
      </c>
      <c r="G57" s="43"/>
      <c r="H57" s="44">
        <v>416915717</v>
      </c>
      <c r="I57" s="44">
        <v>0</v>
      </c>
      <c r="J57" s="44">
        <v>0</v>
      </c>
      <c r="K57" s="44">
        <v>0</v>
      </c>
      <c r="L57" s="44">
        <v>3306674</v>
      </c>
      <c r="M57" s="44">
        <f t="shared" ref="M57:M65" si="7">H57+I57-J57+K57-L57</f>
        <v>413609043</v>
      </c>
      <c r="N57" s="40" t="s">
        <v>225</v>
      </c>
      <c r="O57" s="40" t="s">
        <v>200</v>
      </c>
      <c r="Q57" s="88"/>
      <c r="AF57" s="53"/>
      <c r="AG57" s="45"/>
      <c r="AH57" s="56"/>
    </row>
    <row r="58" spans="1:36" ht="17.100000000000001" hidden="1" customHeight="1">
      <c r="A58" s="39">
        <v>37</v>
      </c>
      <c r="B58" s="377"/>
      <c r="C58" s="39">
        <v>11241</v>
      </c>
      <c r="D58" s="41" t="s">
        <v>258</v>
      </c>
      <c r="E58" s="377"/>
      <c r="F58" s="87" t="s">
        <v>235</v>
      </c>
      <c r="G58" s="43"/>
      <c r="H58" s="44">
        <v>278815196</v>
      </c>
      <c r="I58" s="44">
        <v>0</v>
      </c>
      <c r="J58" s="44">
        <v>25933333</v>
      </c>
      <c r="K58" s="44">
        <v>0</v>
      </c>
      <c r="L58" s="44">
        <v>2383165</v>
      </c>
      <c r="M58" s="44">
        <f t="shared" si="7"/>
        <v>250498698</v>
      </c>
      <c r="N58" s="40" t="s">
        <v>225</v>
      </c>
      <c r="O58" s="40" t="s">
        <v>200</v>
      </c>
      <c r="Q58" s="89"/>
      <c r="S58" s="45"/>
      <c r="AF58" s="53"/>
      <c r="AH58" s="56"/>
    </row>
    <row r="59" spans="1:36" ht="17.100000000000001" hidden="1" customHeight="1">
      <c r="A59" s="39">
        <v>38</v>
      </c>
      <c r="B59" s="377"/>
      <c r="C59" s="39">
        <v>11242</v>
      </c>
      <c r="D59" s="41" t="s">
        <v>259</v>
      </c>
      <c r="E59" s="377"/>
      <c r="F59" s="87" t="s">
        <v>235</v>
      </c>
      <c r="G59" s="43"/>
      <c r="H59" s="44">
        <v>199255869</v>
      </c>
      <c r="I59" s="44">
        <v>0</v>
      </c>
      <c r="J59" s="44">
        <v>15200000</v>
      </c>
      <c r="K59" s="44">
        <v>0</v>
      </c>
      <c r="L59" s="44">
        <v>1943945</v>
      </c>
      <c r="M59" s="44">
        <f t="shared" si="7"/>
        <v>182111924</v>
      </c>
      <c r="N59" s="40" t="s">
        <v>225</v>
      </c>
      <c r="O59" s="40" t="s">
        <v>200</v>
      </c>
      <c r="Q59" s="89"/>
      <c r="AF59" s="53"/>
      <c r="AG59" s="45"/>
      <c r="AH59" s="56"/>
    </row>
    <row r="60" spans="1:36" ht="17.100000000000001" hidden="1" customHeight="1">
      <c r="A60" s="39">
        <v>39</v>
      </c>
      <c r="B60" s="377"/>
      <c r="C60" s="39">
        <v>11243</v>
      </c>
      <c r="D60" s="41" t="s">
        <v>260</v>
      </c>
      <c r="E60" s="377"/>
      <c r="F60" s="87" t="s">
        <v>235</v>
      </c>
      <c r="G60" s="43"/>
      <c r="H60" s="44">
        <v>58867757</v>
      </c>
      <c r="I60" s="44">
        <v>0</v>
      </c>
      <c r="J60" s="44">
        <v>0</v>
      </c>
      <c r="K60" s="44">
        <v>0</v>
      </c>
      <c r="L60" s="44">
        <v>546693</v>
      </c>
      <c r="M60" s="44">
        <f t="shared" si="7"/>
        <v>58321064</v>
      </c>
      <c r="N60" s="40" t="s">
        <v>225</v>
      </c>
      <c r="O60" s="40" t="s">
        <v>200</v>
      </c>
      <c r="Q60" s="89"/>
      <c r="AF60" s="53"/>
      <c r="AH60" s="56"/>
    </row>
    <row r="61" spans="1:36" ht="17.100000000000001" hidden="1" customHeight="1">
      <c r="A61" s="39">
        <v>40</v>
      </c>
      <c r="B61" s="377"/>
      <c r="C61" s="39">
        <v>11244</v>
      </c>
      <c r="D61" s="41" t="s">
        <v>261</v>
      </c>
      <c r="E61" s="377"/>
      <c r="F61" s="87" t="s">
        <v>235</v>
      </c>
      <c r="G61" s="43"/>
      <c r="H61" s="44">
        <v>208479541</v>
      </c>
      <c r="I61" s="44">
        <v>0</v>
      </c>
      <c r="J61" s="44">
        <v>0</v>
      </c>
      <c r="K61" s="44">
        <v>0</v>
      </c>
      <c r="L61" s="44">
        <v>1922058</v>
      </c>
      <c r="M61" s="44">
        <f t="shared" si="7"/>
        <v>206557483</v>
      </c>
      <c r="N61" s="40" t="s">
        <v>225</v>
      </c>
      <c r="O61" s="40" t="s">
        <v>200</v>
      </c>
      <c r="Q61" s="45"/>
      <c r="AF61" s="53"/>
      <c r="AH61" s="56"/>
    </row>
    <row r="62" spans="1:36" ht="17.100000000000001" hidden="1" customHeight="1">
      <c r="A62" s="39">
        <v>41</v>
      </c>
      <c r="B62" s="377"/>
      <c r="C62" s="39">
        <v>11245</v>
      </c>
      <c r="D62" s="79" t="s">
        <v>262</v>
      </c>
      <c r="E62" s="377"/>
      <c r="F62" s="87" t="s">
        <v>235</v>
      </c>
      <c r="G62" s="43"/>
      <c r="H62" s="44">
        <v>278848447</v>
      </c>
      <c r="I62" s="44">
        <v>0</v>
      </c>
      <c r="J62" s="44">
        <v>0</v>
      </c>
      <c r="K62" s="44">
        <v>0</v>
      </c>
      <c r="L62" s="44">
        <v>2529261</v>
      </c>
      <c r="M62" s="44">
        <f t="shared" si="7"/>
        <v>276319186</v>
      </c>
      <c r="N62" s="40" t="s">
        <v>225</v>
      </c>
      <c r="O62" s="40" t="s">
        <v>200</v>
      </c>
      <c r="Q62" s="45"/>
      <c r="S62" s="56"/>
      <c r="AF62" s="53"/>
      <c r="AH62" s="56"/>
    </row>
    <row r="63" spans="1:36" ht="17.100000000000001" hidden="1" customHeight="1">
      <c r="A63" s="39">
        <v>42</v>
      </c>
      <c r="B63" s="377"/>
      <c r="C63" s="39">
        <v>11246</v>
      </c>
      <c r="D63" s="41" t="s">
        <v>263</v>
      </c>
      <c r="E63" s="378"/>
      <c r="F63" s="87" t="s">
        <v>235</v>
      </c>
      <c r="G63" s="43"/>
      <c r="H63" s="44">
        <v>159409933</v>
      </c>
      <c r="I63" s="44">
        <v>0</v>
      </c>
      <c r="J63" s="44">
        <v>11904761</v>
      </c>
      <c r="K63" s="44">
        <v>0</v>
      </c>
      <c r="L63" s="44">
        <v>1476379</v>
      </c>
      <c r="M63" s="44">
        <f t="shared" si="7"/>
        <v>146028793</v>
      </c>
      <c r="N63" s="40" t="s">
        <v>225</v>
      </c>
      <c r="O63" s="40" t="s">
        <v>200</v>
      </c>
      <c r="Q63" s="45"/>
      <c r="AF63" s="53"/>
      <c r="AH63" s="56"/>
    </row>
    <row r="64" spans="1:36" ht="21" hidden="1" customHeight="1">
      <c r="A64" s="39">
        <v>43</v>
      </c>
      <c r="B64" s="377"/>
      <c r="C64" s="39">
        <v>11249</v>
      </c>
      <c r="D64" s="41" t="s">
        <v>264</v>
      </c>
      <c r="E64" s="39" t="s">
        <v>198</v>
      </c>
      <c r="F64" s="73"/>
      <c r="G64" s="43"/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f t="shared" si="7"/>
        <v>0</v>
      </c>
      <c r="N64" s="40" t="s">
        <v>225</v>
      </c>
      <c r="O64" s="40" t="s">
        <v>200</v>
      </c>
      <c r="Q64" s="45"/>
      <c r="S64" s="53"/>
      <c r="AH64" s="56"/>
    </row>
    <row r="65" spans="1:34" ht="17.100000000000001" hidden="1" customHeight="1">
      <c r="A65" s="39">
        <v>44</v>
      </c>
      <c r="B65" s="378"/>
      <c r="C65" s="39">
        <v>11247</v>
      </c>
      <c r="D65" s="41" t="s">
        <v>265</v>
      </c>
      <c r="E65" s="39" t="s">
        <v>213</v>
      </c>
      <c r="F65" s="87" t="s">
        <v>235</v>
      </c>
      <c r="G65" s="43"/>
      <c r="H65" s="44">
        <v>238742540</v>
      </c>
      <c r="I65" s="44">
        <v>0</v>
      </c>
      <c r="J65" s="44">
        <v>17857140</v>
      </c>
      <c r="K65" s="44">
        <v>0</v>
      </c>
      <c r="L65" s="44">
        <v>1899684</v>
      </c>
      <c r="M65" s="44">
        <f t="shared" si="7"/>
        <v>218985716</v>
      </c>
      <c r="N65" s="40" t="s">
        <v>225</v>
      </c>
      <c r="O65" s="40" t="s">
        <v>200</v>
      </c>
      <c r="Q65" s="45"/>
      <c r="AF65" s="53"/>
      <c r="AH65" s="56"/>
    </row>
    <row r="66" spans="1:34" ht="17.100000000000001" hidden="1" customHeight="1">
      <c r="A66" s="39"/>
      <c r="B66" s="39"/>
      <c r="C66" s="39"/>
      <c r="D66" s="64" t="s">
        <v>266</v>
      </c>
      <c r="E66" s="63"/>
      <c r="F66" s="64"/>
      <c r="G66" s="43"/>
      <c r="H66" s="66">
        <f t="shared" ref="H66:M66" si="8">SUM(H57:H65)</f>
        <v>1839335000</v>
      </c>
      <c r="I66" s="66">
        <f t="shared" si="8"/>
        <v>0</v>
      </c>
      <c r="J66" s="66">
        <f t="shared" si="8"/>
        <v>70895234</v>
      </c>
      <c r="K66" s="66">
        <f t="shared" si="8"/>
        <v>0</v>
      </c>
      <c r="L66" s="66">
        <f t="shared" si="8"/>
        <v>16007859</v>
      </c>
      <c r="M66" s="66">
        <f t="shared" si="8"/>
        <v>1752431907</v>
      </c>
      <c r="N66" s="40"/>
      <c r="O66" s="40"/>
      <c r="Q66" s="45"/>
      <c r="AH66" s="56"/>
    </row>
    <row r="67" spans="1:34" ht="17.100000000000001" hidden="1" customHeight="1">
      <c r="A67" s="39"/>
      <c r="B67" s="70"/>
      <c r="C67" s="39"/>
      <c r="D67" s="64"/>
      <c r="E67" s="63"/>
      <c r="F67" s="64"/>
      <c r="G67" s="43"/>
      <c r="H67" s="66"/>
      <c r="I67" s="66"/>
      <c r="J67" s="66"/>
      <c r="K67" s="66"/>
      <c r="L67" s="66"/>
      <c r="M67" s="66"/>
      <c r="N67" s="40"/>
      <c r="O67" s="40"/>
      <c r="Q67" s="45"/>
    </row>
    <row r="68" spans="1:34" ht="21" hidden="1" customHeight="1">
      <c r="A68" s="39">
        <v>45</v>
      </c>
      <c r="B68" s="379" t="s">
        <v>267</v>
      </c>
      <c r="C68" s="39">
        <v>11224</v>
      </c>
      <c r="D68" s="90" t="s">
        <v>268</v>
      </c>
      <c r="E68" s="39" t="s">
        <v>213</v>
      </c>
      <c r="F68" s="91">
        <v>9.9499999999999993</v>
      </c>
      <c r="G68" s="43"/>
      <c r="H68" s="44">
        <v>574000000</v>
      </c>
      <c r="I68" s="44">
        <v>0</v>
      </c>
      <c r="J68" s="44">
        <v>0</v>
      </c>
      <c r="K68" s="44">
        <v>0</v>
      </c>
      <c r="L68" s="44">
        <v>0</v>
      </c>
      <c r="M68" s="44">
        <f t="shared" ref="M68:M89" si="9">H68+I68-J68+K68-L68</f>
        <v>574000000</v>
      </c>
      <c r="N68" s="40" t="s">
        <v>225</v>
      </c>
      <c r="O68" s="40" t="s">
        <v>253</v>
      </c>
      <c r="Q68" s="45"/>
    </row>
    <row r="69" spans="1:34" ht="21" hidden="1" customHeight="1">
      <c r="A69" s="39">
        <v>46</v>
      </c>
      <c r="B69" s="380"/>
      <c r="C69" s="39">
        <v>11225</v>
      </c>
      <c r="D69" s="90" t="s">
        <v>269</v>
      </c>
      <c r="E69" s="39" t="s">
        <v>213</v>
      </c>
      <c r="F69" s="91">
        <v>9.9499999999999993</v>
      </c>
      <c r="G69" s="43"/>
      <c r="H69" s="44">
        <v>1766000000</v>
      </c>
      <c r="I69" s="44">
        <v>0</v>
      </c>
      <c r="J69" s="44">
        <v>0</v>
      </c>
      <c r="K69" s="44">
        <v>0</v>
      </c>
      <c r="L69" s="44">
        <v>0</v>
      </c>
      <c r="M69" s="44">
        <f t="shared" si="9"/>
        <v>1766000000</v>
      </c>
      <c r="N69" s="40" t="s">
        <v>225</v>
      </c>
      <c r="O69" s="40" t="s">
        <v>253</v>
      </c>
      <c r="Q69" s="45"/>
    </row>
    <row r="70" spans="1:34" ht="21.75" hidden="1" customHeight="1">
      <c r="A70" s="39">
        <v>47</v>
      </c>
      <c r="B70" s="380"/>
      <c r="C70" s="39">
        <v>11280</v>
      </c>
      <c r="D70" s="90" t="s">
        <v>270</v>
      </c>
      <c r="E70" s="39" t="s">
        <v>213</v>
      </c>
      <c r="F70" s="91">
        <v>9.9499999999999993</v>
      </c>
      <c r="G70" s="43"/>
      <c r="H70" s="44">
        <v>210000000</v>
      </c>
      <c r="I70" s="44">
        <v>0</v>
      </c>
      <c r="J70" s="44">
        <v>0</v>
      </c>
      <c r="K70" s="44">
        <v>0</v>
      </c>
      <c r="L70" s="44">
        <v>0</v>
      </c>
      <c r="M70" s="44">
        <f t="shared" si="9"/>
        <v>210000000</v>
      </c>
      <c r="N70" s="40" t="s">
        <v>225</v>
      </c>
      <c r="O70" s="40" t="s">
        <v>253</v>
      </c>
      <c r="Q70" s="45"/>
    </row>
    <row r="71" spans="1:34" ht="21.75" hidden="1" customHeight="1">
      <c r="A71" s="39">
        <v>48</v>
      </c>
      <c r="B71" s="380"/>
      <c r="C71" s="39">
        <v>11281</v>
      </c>
      <c r="D71" s="90" t="s">
        <v>271</v>
      </c>
      <c r="E71" s="39" t="s">
        <v>213</v>
      </c>
      <c r="F71" s="91">
        <v>9.9499999999999993</v>
      </c>
      <c r="G71" s="43"/>
      <c r="H71" s="44">
        <v>290000000</v>
      </c>
      <c r="I71" s="44">
        <v>0</v>
      </c>
      <c r="J71" s="44">
        <v>0</v>
      </c>
      <c r="K71" s="44">
        <v>0</v>
      </c>
      <c r="L71" s="44">
        <v>0</v>
      </c>
      <c r="M71" s="44">
        <f t="shared" si="9"/>
        <v>290000000</v>
      </c>
      <c r="N71" s="40" t="s">
        <v>225</v>
      </c>
      <c r="O71" s="40" t="s">
        <v>253</v>
      </c>
      <c r="Q71" s="45"/>
    </row>
    <row r="72" spans="1:34" ht="21.75" hidden="1" customHeight="1">
      <c r="A72" s="39">
        <v>49</v>
      </c>
      <c r="B72" s="380"/>
      <c r="C72" s="39">
        <v>11226</v>
      </c>
      <c r="D72" s="90" t="s">
        <v>272</v>
      </c>
      <c r="E72" s="39" t="s">
        <v>213</v>
      </c>
      <c r="F72" s="91">
        <v>9.9499999999999993</v>
      </c>
      <c r="G72" s="43"/>
      <c r="H72" s="44">
        <v>214000000</v>
      </c>
      <c r="I72" s="44">
        <v>0</v>
      </c>
      <c r="J72" s="44">
        <v>0</v>
      </c>
      <c r="K72" s="44">
        <v>0</v>
      </c>
      <c r="L72" s="44">
        <v>0</v>
      </c>
      <c r="M72" s="44">
        <f t="shared" si="9"/>
        <v>214000000</v>
      </c>
      <c r="N72" s="40" t="s">
        <v>225</v>
      </c>
      <c r="O72" s="40" t="s">
        <v>253</v>
      </c>
      <c r="Q72" s="45"/>
    </row>
    <row r="73" spans="1:34" ht="33" hidden="1" customHeight="1">
      <c r="A73" s="39">
        <v>50</v>
      </c>
      <c r="B73" s="380"/>
      <c r="C73" s="39">
        <v>11227</v>
      </c>
      <c r="D73" s="90" t="s">
        <v>273</v>
      </c>
      <c r="E73" s="39" t="s">
        <v>213</v>
      </c>
      <c r="F73" s="91">
        <v>9.9499999999999993</v>
      </c>
      <c r="G73" s="43"/>
      <c r="H73" s="44">
        <v>8000000000</v>
      </c>
      <c r="I73" s="44">
        <v>0</v>
      </c>
      <c r="J73" s="44">
        <v>0</v>
      </c>
      <c r="K73" s="44">
        <v>0</v>
      </c>
      <c r="L73" s="44">
        <v>0</v>
      </c>
      <c r="M73" s="44">
        <f t="shared" si="9"/>
        <v>8000000000</v>
      </c>
      <c r="N73" s="40" t="s">
        <v>225</v>
      </c>
      <c r="O73" s="40" t="s">
        <v>253</v>
      </c>
      <c r="Q73" s="45"/>
    </row>
    <row r="74" spans="1:34" ht="22.5" hidden="1" customHeight="1">
      <c r="A74" s="39">
        <v>51</v>
      </c>
      <c r="B74" s="380"/>
      <c r="C74" s="39">
        <v>11228</v>
      </c>
      <c r="D74" s="90" t="s">
        <v>211</v>
      </c>
      <c r="E74" s="39" t="s">
        <v>213</v>
      </c>
      <c r="F74" s="91">
        <v>9.9499999999999993</v>
      </c>
      <c r="G74" s="43"/>
      <c r="H74" s="44">
        <v>921000000</v>
      </c>
      <c r="I74" s="44">
        <v>0</v>
      </c>
      <c r="J74" s="44">
        <v>0</v>
      </c>
      <c r="K74" s="44">
        <v>0</v>
      </c>
      <c r="L74" s="44">
        <v>0</v>
      </c>
      <c r="M74" s="44">
        <f t="shared" si="9"/>
        <v>921000000</v>
      </c>
      <c r="N74" s="40" t="s">
        <v>225</v>
      </c>
      <c r="O74" s="40" t="s">
        <v>253</v>
      </c>
      <c r="Q74" s="45"/>
    </row>
    <row r="75" spans="1:34" ht="21.75" hidden="1" customHeight="1">
      <c r="A75" s="39">
        <v>52</v>
      </c>
      <c r="B75" s="380"/>
      <c r="C75" s="39">
        <v>11229</v>
      </c>
      <c r="D75" s="90" t="s">
        <v>274</v>
      </c>
      <c r="E75" s="39" t="s">
        <v>213</v>
      </c>
      <c r="F75" s="91">
        <v>9.9499999999999993</v>
      </c>
      <c r="G75" s="43"/>
      <c r="H75" s="44">
        <v>2625000000</v>
      </c>
      <c r="I75" s="44">
        <v>0</v>
      </c>
      <c r="J75" s="44">
        <v>0</v>
      </c>
      <c r="K75" s="44">
        <v>0</v>
      </c>
      <c r="L75" s="44">
        <v>0</v>
      </c>
      <c r="M75" s="44">
        <f t="shared" si="9"/>
        <v>2625000000</v>
      </c>
      <c r="N75" s="40" t="s">
        <v>225</v>
      </c>
      <c r="O75" s="40" t="s">
        <v>253</v>
      </c>
      <c r="Q75" s="45"/>
    </row>
    <row r="76" spans="1:34" ht="21.75" hidden="1" customHeight="1">
      <c r="A76" s="39">
        <v>53</v>
      </c>
      <c r="B76" s="380"/>
      <c r="C76" s="39">
        <v>11230</v>
      </c>
      <c r="D76" s="90" t="s">
        <v>275</v>
      </c>
      <c r="E76" s="39" t="s">
        <v>213</v>
      </c>
      <c r="F76" s="91">
        <v>10</v>
      </c>
      <c r="G76" s="43"/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f t="shared" si="9"/>
        <v>0</v>
      </c>
      <c r="N76" s="40" t="s">
        <v>225</v>
      </c>
      <c r="O76" s="40" t="s">
        <v>253</v>
      </c>
      <c r="Q76" s="45"/>
    </row>
    <row r="77" spans="1:34" ht="21.75" hidden="1" customHeight="1">
      <c r="A77" s="39">
        <v>54</v>
      </c>
      <c r="B77" s="380"/>
      <c r="C77" s="39">
        <v>11231</v>
      </c>
      <c r="D77" s="90" t="s">
        <v>276</v>
      </c>
      <c r="E77" s="39" t="s">
        <v>213</v>
      </c>
      <c r="F77" s="91">
        <v>10</v>
      </c>
      <c r="G77" s="43"/>
      <c r="H77" s="44">
        <v>65000000</v>
      </c>
      <c r="I77" s="44">
        <v>0</v>
      </c>
      <c r="J77" s="44">
        <v>0</v>
      </c>
      <c r="K77" s="44">
        <v>0</v>
      </c>
      <c r="L77" s="44">
        <v>0</v>
      </c>
      <c r="M77" s="44">
        <f t="shared" si="9"/>
        <v>65000000</v>
      </c>
      <c r="N77" s="40" t="s">
        <v>225</v>
      </c>
      <c r="O77" s="40" t="s">
        <v>253</v>
      </c>
      <c r="Q77" s="45"/>
    </row>
    <row r="78" spans="1:34" ht="33" hidden="1">
      <c r="A78" s="39">
        <v>55</v>
      </c>
      <c r="B78" s="380"/>
      <c r="C78" s="40" t="s">
        <v>277</v>
      </c>
      <c r="D78" s="90" t="s">
        <v>278</v>
      </c>
      <c r="E78" s="39" t="s">
        <v>213</v>
      </c>
      <c r="F78" s="91">
        <v>10</v>
      </c>
      <c r="G78" s="43"/>
      <c r="H78" s="44">
        <v>239000000</v>
      </c>
      <c r="I78" s="44">
        <v>0</v>
      </c>
      <c r="J78" s="44">
        <v>0</v>
      </c>
      <c r="K78" s="44">
        <v>0</v>
      </c>
      <c r="L78" s="44">
        <v>0</v>
      </c>
      <c r="M78" s="44">
        <f t="shared" si="9"/>
        <v>239000000</v>
      </c>
      <c r="N78" s="40" t="s">
        <v>225</v>
      </c>
      <c r="O78" s="40" t="s">
        <v>253</v>
      </c>
      <c r="Q78" s="45"/>
    </row>
    <row r="79" spans="1:34" ht="21.75" hidden="1" customHeight="1">
      <c r="A79" s="39">
        <v>56</v>
      </c>
      <c r="B79" s="380"/>
      <c r="C79" s="39">
        <v>11234</v>
      </c>
      <c r="D79" s="90" t="s">
        <v>279</v>
      </c>
      <c r="E79" s="39" t="s">
        <v>213</v>
      </c>
      <c r="F79" s="91">
        <v>10</v>
      </c>
      <c r="G79" s="43"/>
      <c r="H79" s="44">
        <v>590000000</v>
      </c>
      <c r="I79" s="44">
        <v>0</v>
      </c>
      <c r="J79" s="44">
        <v>0</v>
      </c>
      <c r="K79" s="44">
        <v>0</v>
      </c>
      <c r="L79" s="44">
        <v>0</v>
      </c>
      <c r="M79" s="44">
        <f t="shared" si="9"/>
        <v>590000000</v>
      </c>
      <c r="N79" s="40" t="s">
        <v>225</v>
      </c>
      <c r="O79" s="40" t="s">
        <v>253</v>
      </c>
      <c r="Q79" s="45"/>
    </row>
    <row r="80" spans="1:34" ht="21.75" hidden="1" customHeight="1">
      <c r="A80" s="39">
        <v>57</v>
      </c>
      <c r="B80" s="380"/>
      <c r="C80" s="39">
        <v>11235</v>
      </c>
      <c r="D80" s="90" t="s">
        <v>280</v>
      </c>
      <c r="E80" s="39" t="s">
        <v>213</v>
      </c>
      <c r="F80" s="91">
        <v>10</v>
      </c>
      <c r="G80" s="43"/>
      <c r="H80" s="44">
        <v>218000000</v>
      </c>
      <c r="I80" s="44">
        <v>0</v>
      </c>
      <c r="J80" s="44">
        <v>0</v>
      </c>
      <c r="K80" s="44">
        <v>0</v>
      </c>
      <c r="L80" s="44">
        <v>0</v>
      </c>
      <c r="M80" s="44">
        <f t="shared" si="9"/>
        <v>218000000</v>
      </c>
      <c r="N80" s="40" t="s">
        <v>225</v>
      </c>
      <c r="O80" s="40" t="s">
        <v>253</v>
      </c>
      <c r="Q80" s="45"/>
    </row>
    <row r="81" spans="1:17" ht="21" hidden="1" customHeight="1">
      <c r="A81" s="39">
        <v>58</v>
      </c>
      <c r="B81" s="380"/>
      <c r="C81" s="39">
        <v>11236</v>
      </c>
      <c r="D81" s="90" t="s">
        <v>281</v>
      </c>
      <c r="E81" s="39" t="s">
        <v>213</v>
      </c>
      <c r="F81" s="91">
        <v>10</v>
      </c>
      <c r="G81" s="43"/>
      <c r="H81" s="44">
        <v>218000000</v>
      </c>
      <c r="I81" s="44">
        <v>0</v>
      </c>
      <c r="J81" s="44">
        <v>0</v>
      </c>
      <c r="K81" s="44">
        <v>0</v>
      </c>
      <c r="L81" s="44">
        <v>0</v>
      </c>
      <c r="M81" s="44">
        <f t="shared" si="9"/>
        <v>218000000</v>
      </c>
      <c r="N81" s="40" t="s">
        <v>225</v>
      </c>
      <c r="O81" s="40" t="s">
        <v>253</v>
      </c>
      <c r="Q81" s="45"/>
    </row>
    <row r="82" spans="1:17" ht="21" hidden="1" customHeight="1">
      <c r="A82" s="39">
        <v>59</v>
      </c>
      <c r="B82" s="380"/>
      <c r="C82" s="39">
        <v>11237</v>
      </c>
      <c r="D82" s="90" t="s">
        <v>282</v>
      </c>
      <c r="E82" s="39" t="s">
        <v>213</v>
      </c>
      <c r="F82" s="91">
        <v>10</v>
      </c>
      <c r="G82" s="43"/>
      <c r="H82" s="44">
        <v>1750000000</v>
      </c>
      <c r="I82" s="44">
        <v>0</v>
      </c>
      <c r="J82" s="44">
        <v>0</v>
      </c>
      <c r="K82" s="44">
        <v>0</v>
      </c>
      <c r="L82" s="44">
        <v>0</v>
      </c>
      <c r="M82" s="44">
        <f t="shared" si="9"/>
        <v>1750000000</v>
      </c>
      <c r="N82" s="40" t="s">
        <v>225</v>
      </c>
      <c r="O82" s="40" t="s">
        <v>253</v>
      </c>
      <c r="Q82" s="45"/>
    </row>
    <row r="83" spans="1:17" ht="21" hidden="1" customHeight="1">
      <c r="A83" s="39">
        <v>60</v>
      </c>
      <c r="B83" s="380"/>
      <c r="C83" s="39">
        <v>11239</v>
      </c>
      <c r="D83" s="90" t="s">
        <v>283</v>
      </c>
      <c r="E83" s="39" t="s">
        <v>213</v>
      </c>
      <c r="F83" s="91">
        <v>10</v>
      </c>
      <c r="G83" s="43"/>
      <c r="H83" s="44">
        <v>305000000</v>
      </c>
      <c r="I83" s="44">
        <v>0</v>
      </c>
      <c r="J83" s="44">
        <v>0</v>
      </c>
      <c r="K83" s="44">
        <v>0</v>
      </c>
      <c r="L83" s="44">
        <v>0</v>
      </c>
      <c r="M83" s="44">
        <f t="shared" si="9"/>
        <v>305000000</v>
      </c>
      <c r="N83" s="40" t="s">
        <v>225</v>
      </c>
      <c r="O83" s="40" t="s">
        <v>253</v>
      </c>
      <c r="Q83" s="45"/>
    </row>
    <row r="84" spans="1:17" ht="21" hidden="1" customHeight="1">
      <c r="A84" s="39">
        <v>61</v>
      </c>
      <c r="B84" s="380"/>
      <c r="C84" s="39">
        <v>11238</v>
      </c>
      <c r="D84" s="90" t="s">
        <v>284</v>
      </c>
      <c r="E84" s="39" t="s">
        <v>213</v>
      </c>
      <c r="F84" s="91">
        <v>10</v>
      </c>
      <c r="G84" s="43"/>
      <c r="H84" s="44">
        <v>174000000</v>
      </c>
      <c r="I84" s="44">
        <v>0</v>
      </c>
      <c r="J84" s="44">
        <v>0</v>
      </c>
      <c r="K84" s="44">
        <v>0</v>
      </c>
      <c r="L84" s="44">
        <v>0</v>
      </c>
      <c r="M84" s="44">
        <f t="shared" si="9"/>
        <v>174000000</v>
      </c>
      <c r="N84" s="40" t="s">
        <v>225</v>
      </c>
      <c r="O84" s="40" t="s">
        <v>253</v>
      </c>
      <c r="Q84" s="45"/>
    </row>
    <row r="85" spans="1:17" ht="22.5" hidden="1" customHeight="1">
      <c r="A85" s="39">
        <v>62</v>
      </c>
      <c r="B85" s="380"/>
      <c r="C85" s="39">
        <v>11248</v>
      </c>
      <c r="D85" s="90" t="s">
        <v>211</v>
      </c>
      <c r="E85" s="39" t="s">
        <v>213</v>
      </c>
      <c r="F85" s="91">
        <v>10</v>
      </c>
      <c r="G85" s="43"/>
      <c r="H85" s="44">
        <v>1782500000</v>
      </c>
      <c r="I85" s="44">
        <v>0</v>
      </c>
      <c r="J85" s="44">
        <v>0</v>
      </c>
      <c r="K85" s="44">
        <v>0</v>
      </c>
      <c r="L85" s="44">
        <v>0</v>
      </c>
      <c r="M85" s="44">
        <f t="shared" si="9"/>
        <v>1782500000</v>
      </c>
      <c r="N85" s="40" t="s">
        <v>225</v>
      </c>
      <c r="O85" s="40" t="s">
        <v>253</v>
      </c>
      <c r="Q85" s="45"/>
    </row>
    <row r="86" spans="1:17" ht="21" hidden="1" customHeight="1">
      <c r="A86" s="39">
        <v>63</v>
      </c>
      <c r="B86" s="380"/>
      <c r="C86" s="39">
        <v>11276</v>
      </c>
      <c r="D86" s="90" t="s">
        <v>285</v>
      </c>
      <c r="E86" s="39" t="s">
        <v>213</v>
      </c>
      <c r="F86" s="91">
        <v>10</v>
      </c>
      <c r="G86" s="43"/>
      <c r="H86" s="44">
        <v>100000000</v>
      </c>
      <c r="I86" s="44">
        <v>0</v>
      </c>
      <c r="J86" s="44">
        <v>0</v>
      </c>
      <c r="K86" s="44">
        <v>0</v>
      </c>
      <c r="L86" s="44">
        <v>0</v>
      </c>
      <c r="M86" s="44">
        <f t="shared" si="9"/>
        <v>100000000</v>
      </c>
      <c r="N86" s="40" t="s">
        <v>225</v>
      </c>
      <c r="O86" s="40" t="s">
        <v>253</v>
      </c>
      <c r="Q86" s="45"/>
    </row>
    <row r="87" spans="1:17" ht="21" hidden="1" customHeight="1">
      <c r="A87" s="39">
        <v>64</v>
      </c>
      <c r="B87" s="380"/>
      <c r="C87" s="39">
        <v>11277</v>
      </c>
      <c r="D87" s="90" t="s">
        <v>286</v>
      </c>
      <c r="E87" s="39" t="s">
        <v>213</v>
      </c>
      <c r="F87" s="91">
        <v>10</v>
      </c>
      <c r="G87" s="43"/>
      <c r="H87" s="44">
        <v>120000000</v>
      </c>
      <c r="I87" s="44">
        <v>0</v>
      </c>
      <c r="J87" s="44">
        <v>0</v>
      </c>
      <c r="K87" s="44">
        <v>0</v>
      </c>
      <c r="L87" s="44">
        <v>0</v>
      </c>
      <c r="M87" s="44">
        <f t="shared" si="9"/>
        <v>120000000</v>
      </c>
      <c r="N87" s="40" t="s">
        <v>225</v>
      </c>
      <c r="O87" s="40" t="s">
        <v>253</v>
      </c>
      <c r="Q87" s="45"/>
    </row>
    <row r="88" spans="1:17" ht="23.25" hidden="1" customHeight="1">
      <c r="A88" s="39">
        <v>65</v>
      </c>
      <c r="B88" s="380"/>
      <c r="C88" s="39">
        <v>11278</v>
      </c>
      <c r="D88" s="90" t="s">
        <v>287</v>
      </c>
      <c r="E88" s="39" t="s">
        <v>213</v>
      </c>
      <c r="F88" s="91">
        <v>10</v>
      </c>
      <c r="G88" s="43"/>
      <c r="H88" s="44">
        <v>30000000</v>
      </c>
      <c r="I88" s="44">
        <v>0</v>
      </c>
      <c r="J88" s="44">
        <v>0</v>
      </c>
      <c r="K88" s="44">
        <v>0</v>
      </c>
      <c r="L88" s="44">
        <v>0</v>
      </c>
      <c r="M88" s="44">
        <f t="shared" si="9"/>
        <v>30000000</v>
      </c>
      <c r="N88" s="40" t="s">
        <v>225</v>
      </c>
      <c r="O88" s="40" t="s">
        <v>253</v>
      </c>
      <c r="Q88" s="45"/>
    </row>
    <row r="89" spans="1:17" ht="31.5" hidden="1" customHeight="1">
      <c r="A89" s="39">
        <v>66</v>
      </c>
      <c r="B89" s="381"/>
      <c r="C89" s="39">
        <v>11279</v>
      </c>
      <c r="D89" s="90" t="s">
        <v>288</v>
      </c>
      <c r="E89" s="39" t="s">
        <v>213</v>
      </c>
      <c r="F89" s="91">
        <v>10</v>
      </c>
      <c r="G89" s="43"/>
      <c r="H89" s="44">
        <v>55000000</v>
      </c>
      <c r="I89" s="44">
        <v>0</v>
      </c>
      <c r="J89" s="44">
        <v>0</v>
      </c>
      <c r="K89" s="44">
        <v>0</v>
      </c>
      <c r="L89" s="44">
        <v>0</v>
      </c>
      <c r="M89" s="44">
        <f t="shared" si="9"/>
        <v>55000000</v>
      </c>
      <c r="N89" s="40" t="s">
        <v>225</v>
      </c>
      <c r="O89" s="40" t="s">
        <v>253</v>
      </c>
      <c r="Q89" s="45"/>
    </row>
    <row r="90" spans="1:17" ht="17.100000000000001" hidden="1" customHeight="1">
      <c r="A90" s="39"/>
      <c r="B90" s="70"/>
      <c r="C90" s="39"/>
      <c r="D90" s="64" t="s">
        <v>289</v>
      </c>
      <c r="E90" s="72"/>
      <c r="F90" s="64"/>
      <c r="G90" s="43"/>
      <c r="H90" s="66">
        <f>SUM(H68:H89)</f>
        <v>20246500000</v>
      </c>
      <c r="I90" s="66">
        <f t="shared" ref="I90:M90" si="10">SUM(I68:I89)</f>
        <v>0</v>
      </c>
      <c r="J90" s="66">
        <f t="shared" si="10"/>
        <v>0</v>
      </c>
      <c r="K90" s="66">
        <f t="shared" si="10"/>
        <v>0</v>
      </c>
      <c r="L90" s="66">
        <f t="shared" si="10"/>
        <v>0</v>
      </c>
      <c r="M90" s="66">
        <f t="shared" si="10"/>
        <v>20246500000</v>
      </c>
      <c r="N90" s="40"/>
      <c r="O90" s="40"/>
      <c r="Q90" s="45"/>
    </row>
    <row r="91" spans="1:17" ht="17.100000000000001" customHeight="1">
      <c r="A91" s="39"/>
      <c r="B91" s="39"/>
      <c r="C91" s="39"/>
      <c r="D91" s="64"/>
      <c r="E91" s="63"/>
      <c r="F91" s="64"/>
      <c r="G91" s="43"/>
      <c r="H91" s="66"/>
      <c r="I91" s="66"/>
      <c r="J91" s="66"/>
      <c r="K91" s="66"/>
      <c r="L91" s="66"/>
      <c r="M91" s="66"/>
      <c r="N91" s="57"/>
      <c r="O91" s="57"/>
    </row>
    <row r="92" spans="1:17" ht="17.100000000000001" customHeight="1">
      <c r="A92" s="41"/>
      <c r="B92" s="41"/>
      <c r="C92" s="41"/>
      <c r="D92" s="64" t="s">
        <v>290</v>
      </c>
      <c r="E92" s="63"/>
      <c r="F92" s="64"/>
      <c r="G92" s="63"/>
      <c r="H92" s="92">
        <f>H55+H66+H90</f>
        <v>199312535879.42999</v>
      </c>
      <c r="I92" s="92">
        <f t="shared" ref="I92:M92" si="11">I55+I66+I90</f>
        <v>13276031067.139999</v>
      </c>
      <c r="J92" s="92">
        <f t="shared" si="11"/>
        <v>30125715748</v>
      </c>
      <c r="K92" s="92">
        <f t="shared" si="11"/>
        <v>0</v>
      </c>
      <c r="L92" s="92">
        <f t="shared" si="11"/>
        <v>16007859</v>
      </c>
      <c r="M92" s="92">
        <f t="shared" si="11"/>
        <v>184939160270.57001</v>
      </c>
      <c r="N92" s="57"/>
      <c r="O92" s="57"/>
    </row>
    <row r="93" spans="1:17">
      <c r="H93" s="45">
        <f>SUM(H7:H22,H32,H33,H38,H52,H53)</f>
        <v>51863216277.43</v>
      </c>
      <c r="M93" s="45">
        <f>SUM(M7:M22,M32,M33,M38,M52,M53)</f>
        <v>48394792799.149994</v>
      </c>
    </row>
    <row r="94" spans="1:17">
      <c r="H94" s="56">
        <f>H93/10^7</f>
        <v>5186.3216277430001</v>
      </c>
      <c r="M94" s="56">
        <f>M93/10^7</f>
        <v>4839.4792799149991</v>
      </c>
    </row>
    <row r="95" spans="1:17">
      <c r="J95" s="45"/>
    </row>
    <row r="96" spans="1:17">
      <c r="H96" s="56"/>
      <c r="I96" s="45"/>
      <c r="J96" s="45"/>
      <c r="L96" s="45"/>
      <c r="M96" s="45"/>
    </row>
    <row r="97" spans="4:16">
      <c r="D97" s="382" t="s">
        <v>291</v>
      </c>
      <c r="E97" s="382"/>
      <c r="F97" s="382"/>
      <c r="G97" s="382"/>
      <c r="H97" s="383" t="s">
        <v>292</v>
      </c>
      <c r="I97" s="384" t="s">
        <v>293</v>
      </c>
      <c r="J97" s="384"/>
      <c r="K97" s="384"/>
      <c r="L97" s="384"/>
      <c r="M97" s="385" t="s">
        <v>294</v>
      </c>
      <c r="O97" s="94"/>
    </row>
    <row r="98" spans="4:16">
      <c r="D98" s="382"/>
      <c r="E98" s="382"/>
      <c r="F98" s="382"/>
      <c r="G98" s="382"/>
      <c r="H98" s="383"/>
      <c r="I98" s="95" t="s">
        <v>295</v>
      </c>
      <c r="J98" s="95" t="s">
        <v>296</v>
      </c>
      <c r="K98" s="95" t="s">
        <v>297</v>
      </c>
      <c r="L98" s="95" t="s">
        <v>65</v>
      </c>
      <c r="M98" s="385"/>
      <c r="N98" s="96"/>
      <c r="O98" s="96"/>
      <c r="P98" s="86"/>
    </row>
    <row r="99" spans="4:16" ht="20.100000000000001" customHeight="1">
      <c r="D99" s="374" t="s">
        <v>298</v>
      </c>
      <c r="E99" s="374"/>
      <c r="F99" s="374"/>
      <c r="G99" s="374"/>
      <c r="H99" s="97">
        <f>M29</f>
        <v>84728471712.569992</v>
      </c>
      <c r="I99" s="44">
        <v>75245507921.570007</v>
      </c>
      <c r="J99" s="44">
        <v>9482963791</v>
      </c>
      <c r="K99" s="44">
        <v>0</v>
      </c>
      <c r="L99" s="97">
        <f>I99+J99+K99</f>
        <v>84728471712.570007</v>
      </c>
      <c r="M99" s="44">
        <f t="shared" ref="M99:M108" si="12">H99-L99</f>
        <v>0</v>
      </c>
      <c r="O99" s="98"/>
    </row>
    <row r="100" spans="4:16" ht="20.100000000000001" customHeight="1">
      <c r="D100" s="374" t="s">
        <v>299</v>
      </c>
      <c r="E100" s="374"/>
      <c r="F100" s="374"/>
      <c r="G100" s="374"/>
      <c r="H100" s="97">
        <f>M40</f>
        <v>50611615253</v>
      </c>
      <c r="I100" s="44">
        <v>44492221781</v>
      </c>
      <c r="J100" s="44">
        <v>6119393472</v>
      </c>
      <c r="K100" s="44">
        <v>0</v>
      </c>
      <c r="L100" s="97">
        <f t="shared" ref="L100:L108" si="13">I100+J100+K100</f>
        <v>50611615253</v>
      </c>
      <c r="M100" s="44">
        <f t="shared" si="12"/>
        <v>0</v>
      </c>
    </row>
    <row r="101" spans="4:16" ht="20.100000000000001" customHeight="1">
      <c r="D101" s="374" t="s">
        <v>300</v>
      </c>
      <c r="E101" s="374"/>
      <c r="F101" s="374"/>
      <c r="G101" s="374"/>
      <c r="H101" s="97">
        <f>M43</f>
        <v>3183431965</v>
      </c>
      <c r="I101" s="44">
        <v>2753431981</v>
      </c>
      <c r="J101" s="44">
        <v>429999984</v>
      </c>
      <c r="K101" s="44">
        <v>0</v>
      </c>
      <c r="L101" s="97">
        <f t="shared" si="13"/>
        <v>3183431965</v>
      </c>
      <c r="M101" s="44">
        <f t="shared" si="12"/>
        <v>0</v>
      </c>
    </row>
    <row r="102" spans="4:16" ht="20.100000000000001" customHeight="1">
      <c r="D102" s="374" t="s">
        <v>301</v>
      </c>
      <c r="E102" s="374"/>
      <c r="F102" s="374"/>
      <c r="G102" s="374"/>
      <c r="H102" s="97">
        <f>M45</f>
        <v>11354166662</v>
      </c>
      <c r="I102" s="44">
        <v>6154166666</v>
      </c>
      <c r="J102" s="44">
        <v>5199999996</v>
      </c>
      <c r="K102" s="44">
        <v>0</v>
      </c>
      <c r="L102" s="97">
        <f t="shared" si="13"/>
        <v>11354166662</v>
      </c>
      <c r="M102" s="44">
        <f t="shared" si="12"/>
        <v>0</v>
      </c>
    </row>
    <row r="103" spans="4:16" ht="20.100000000000001" customHeight="1">
      <c r="D103" s="374" t="s">
        <v>302</v>
      </c>
      <c r="E103" s="374"/>
      <c r="F103" s="374"/>
      <c r="G103" s="374"/>
      <c r="H103" s="97">
        <f>M66</f>
        <v>1752431907</v>
      </c>
      <c r="I103" s="44">
        <v>0</v>
      </c>
      <c r="J103" s="44">
        <v>1752431907</v>
      </c>
      <c r="K103" s="44">
        <v>0</v>
      </c>
      <c r="L103" s="97">
        <f t="shared" si="13"/>
        <v>1752431907</v>
      </c>
      <c r="M103" s="44">
        <f t="shared" si="12"/>
        <v>0</v>
      </c>
    </row>
    <row r="104" spans="4:16" ht="20.100000000000001" customHeight="1">
      <c r="D104" s="374" t="s">
        <v>303</v>
      </c>
      <c r="E104" s="374"/>
      <c r="F104" s="374"/>
      <c r="G104" s="374"/>
      <c r="H104" s="97">
        <f>M90</f>
        <v>20246500000</v>
      </c>
      <c r="I104" s="44">
        <f>M90</f>
        <v>20246500000</v>
      </c>
      <c r="J104" s="44">
        <v>0</v>
      </c>
      <c r="K104" s="44">
        <v>0</v>
      </c>
      <c r="L104" s="97">
        <f t="shared" si="13"/>
        <v>20246500000</v>
      </c>
      <c r="M104" s="44">
        <f t="shared" si="12"/>
        <v>0</v>
      </c>
    </row>
    <row r="105" spans="4:16" ht="20.100000000000001" customHeight="1">
      <c r="D105" s="374" t="s">
        <v>304</v>
      </c>
      <c r="E105" s="374"/>
      <c r="F105" s="374"/>
      <c r="G105" s="374"/>
      <c r="H105" s="97">
        <f>M47</f>
        <v>3473249792</v>
      </c>
      <c r="I105" s="44">
        <v>0</v>
      </c>
      <c r="J105" s="44">
        <f>H105</f>
        <v>3473249792</v>
      </c>
      <c r="K105" s="44"/>
      <c r="L105" s="97">
        <f t="shared" si="13"/>
        <v>3473249792</v>
      </c>
      <c r="M105" s="44">
        <f t="shared" si="12"/>
        <v>0</v>
      </c>
    </row>
    <row r="106" spans="4:16" ht="20.100000000000001" customHeight="1">
      <c r="D106" s="374" t="s">
        <v>249</v>
      </c>
      <c r="E106" s="374"/>
      <c r="F106" s="374"/>
      <c r="G106" s="374"/>
      <c r="H106" s="97">
        <f>M49</f>
        <v>5536465204</v>
      </c>
      <c r="I106" s="44">
        <v>0</v>
      </c>
      <c r="J106" s="44">
        <f>H106</f>
        <v>5536465204</v>
      </c>
      <c r="K106" s="44">
        <v>0</v>
      </c>
      <c r="L106" s="97">
        <f t="shared" si="13"/>
        <v>5536465204</v>
      </c>
      <c r="M106" s="44">
        <f t="shared" si="12"/>
        <v>0</v>
      </c>
    </row>
    <row r="107" spans="4:16" ht="20.100000000000001" customHeight="1">
      <c r="D107" s="374" t="s">
        <v>252</v>
      </c>
      <c r="E107" s="374"/>
      <c r="F107" s="374"/>
      <c r="G107" s="374"/>
      <c r="H107" s="97">
        <f>M52</f>
        <v>205553775</v>
      </c>
      <c r="I107" s="44">
        <f>H107</f>
        <v>205553775</v>
      </c>
      <c r="J107" s="44">
        <v>0</v>
      </c>
      <c r="K107" s="44">
        <v>0</v>
      </c>
      <c r="L107" s="97">
        <f t="shared" si="13"/>
        <v>205553775</v>
      </c>
      <c r="M107" s="44">
        <f t="shared" si="12"/>
        <v>0</v>
      </c>
    </row>
    <row r="108" spans="4:16" ht="20.100000000000001" customHeight="1">
      <c r="D108" s="374" t="s">
        <v>305</v>
      </c>
      <c r="E108" s="374"/>
      <c r="F108" s="374"/>
      <c r="G108" s="374"/>
      <c r="H108" s="97">
        <f>M53</f>
        <v>3847274000</v>
      </c>
      <c r="I108" s="44">
        <v>3594993738</v>
      </c>
      <c r="J108" s="44">
        <v>252280262</v>
      </c>
      <c r="K108" s="44">
        <v>0</v>
      </c>
      <c r="L108" s="97">
        <f t="shared" si="13"/>
        <v>3847274000</v>
      </c>
      <c r="M108" s="44">
        <f t="shared" si="12"/>
        <v>0</v>
      </c>
    </row>
    <row r="109" spans="4:16" ht="20.100000000000001" customHeight="1">
      <c r="D109" s="391" t="s">
        <v>306</v>
      </c>
      <c r="E109" s="391"/>
      <c r="F109" s="391"/>
      <c r="G109" s="391"/>
      <c r="H109" s="99">
        <f>SUM(H99:H108)</f>
        <v>184939160270.57001</v>
      </c>
      <c r="I109" s="99">
        <f>SUM(I99:I108)</f>
        <v>152692375862.57001</v>
      </c>
      <c r="J109" s="99">
        <f>SUM(J99:J108)</f>
        <v>32246784408</v>
      </c>
      <c r="K109" s="99">
        <f>SUM(K99:K108)</f>
        <v>0</v>
      </c>
      <c r="L109" s="99">
        <f>SUM(L99:L108)</f>
        <v>184939160270.57001</v>
      </c>
      <c r="M109" s="44">
        <f>H109-L109</f>
        <v>0</v>
      </c>
    </row>
    <row r="111" spans="4:16">
      <c r="D111" s="388" t="s">
        <v>307</v>
      </c>
      <c r="E111" s="388"/>
      <c r="F111" s="388"/>
      <c r="G111" s="388"/>
      <c r="H111" s="93" t="s">
        <v>308</v>
      </c>
      <c r="I111" s="51">
        <v>143104300000</v>
      </c>
      <c r="J111" s="51">
        <f>J109</f>
        <v>32246784408</v>
      </c>
      <c r="K111" s="51">
        <v>0</v>
      </c>
      <c r="L111" s="69">
        <f>I111+J111+K111</f>
        <v>175351084408</v>
      </c>
    </row>
    <row r="112" spans="4:16">
      <c r="D112" s="100"/>
      <c r="E112" s="100"/>
      <c r="F112" s="100"/>
      <c r="G112" s="100"/>
    </row>
    <row r="113" spans="3:13">
      <c r="D113" s="388" t="s">
        <v>309</v>
      </c>
      <c r="E113" s="388"/>
      <c r="F113" s="388"/>
      <c r="G113" s="388"/>
      <c r="H113" s="93" t="s">
        <v>308</v>
      </c>
      <c r="I113" s="45">
        <f>I109-I111</f>
        <v>9588075862.5700073</v>
      </c>
      <c r="J113" s="45">
        <f>J109-J111</f>
        <v>0</v>
      </c>
      <c r="K113" s="45">
        <f>K109-K111</f>
        <v>0</v>
      </c>
      <c r="L113" s="69">
        <f>I113+J113+K113</f>
        <v>9588075862.5700073</v>
      </c>
    </row>
    <row r="115" spans="3:13">
      <c r="C115" s="93">
        <v>1</v>
      </c>
      <c r="D115" s="389" t="s">
        <v>310</v>
      </c>
      <c r="E115" s="389"/>
      <c r="F115" s="389"/>
      <c r="G115" s="389"/>
      <c r="H115" s="93" t="s">
        <v>308</v>
      </c>
      <c r="I115" s="45">
        <f>I113</f>
        <v>9588075862.5700073</v>
      </c>
    </row>
    <row r="117" spans="3:13">
      <c r="D117" s="100"/>
      <c r="F117" s="390"/>
      <c r="G117" s="390"/>
    </row>
    <row r="118" spans="3:13">
      <c r="J118" s="45"/>
    </row>
    <row r="119" spans="3:13">
      <c r="I119" s="45"/>
    </row>
    <row r="121" spans="3:13">
      <c r="I121" s="50"/>
    </row>
    <row r="122" spans="3:13">
      <c r="I122" s="50"/>
    </row>
    <row r="123" spans="3:13">
      <c r="I123" s="50"/>
      <c r="M123" s="101"/>
    </row>
    <row r="124" spans="3:13">
      <c r="I124" s="45"/>
      <c r="M124" s="88"/>
    </row>
    <row r="125" spans="3:13">
      <c r="H125" s="52"/>
      <c r="M125" s="86"/>
    </row>
    <row r="126" spans="3:13">
      <c r="M126" s="89"/>
    </row>
    <row r="127" spans="3:13">
      <c r="M127" s="89"/>
    </row>
    <row r="129" spans="8:8">
      <c r="H129" s="45"/>
    </row>
    <row r="135" spans="8:8">
      <c r="H135" s="52"/>
    </row>
    <row r="136" spans="8:8">
      <c r="H136" s="52"/>
    </row>
    <row r="137" spans="8:8">
      <c r="H137" s="52"/>
    </row>
    <row r="138" spans="8:8">
      <c r="H138" s="52"/>
    </row>
    <row r="141" spans="8:8">
      <c r="H141" s="52"/>
    </row>
    <row r="142" spans="8:8">
      <c r="H142" s="34">
        <f>SUM(A1)</f>
        <v>0</v>
      </c>
    </row>
  </sheetData>
  <autoFilter ref="N3:N90">
    <filterColumn colId="0">
      <filters>
        <filter val="Capital Expenditure"/>
      </filters>
    </filterColumn>
  </autoFilter>
  <mergeCells count="51">
    <mergeCell ref="D113:G113"/>
    <mergeCell ref="D115:G115"/>
    <mergeCell ref="F117:G117"/>
    <mergeCell ref="D105:G105"/>
    <mergeCell ref="D106:G106"/>
    <mergeCell ref="D107:G107"/>
    <mergeCell ref="D108:G108"/>
    <mergeCell ref="D109:G109"/>
    <mergeCell ref="D111:G111"/>
    <mergeCell ref="D104:G104"/>
    <mergeCell ref="N47:N48"/>
    <mergeCell ref="O47:O48"/>
    <mergeCell ref="B57:B65"/>
    <mergeCell ref="E57:E63"/>
    <mergeCell ref="B68:B89"/>
    <mergeCell ref="D97:G98"/>
    <mergeCell ref="H97:H98"/>
    <mergeCell ref="I97:L97"/>
    <mergeCell ref="M97:M98"/>
    <mergeCell ref="M47:M48"/>
    <mergeCell ref="D99:G99"/>
    <mergeCell ref="D100:G100"/>
    <mergeCell ref="D101:G101"/>
    <mergeCell ref="D102:G102"/>
    <mergeCell ref="D103:G103"/>
    <mergeCell ref="A47:A48"/>
    <mergeCell ref="B47:B48"/>
    <mergeCell ref="C47:C48"/>
    <mergeCell ref="E47:E48"/>
    <mergeCell ref="H47:H48"/>
    <mergeCell ref="B31:B39"/>
    <mergeCell ref="E32:E33"/>
    <mergeCell ref="E34:E39"/>
    <mergeCell ref="I3:I5"/>
    <mergeCell ref="J3:J5"/>
    <mergeCell ref="F3:F5"/>
    <mergeCell ref="G3:G5"/>
    <mergeCell ref="H3:H5"/>
    <mergeCell ref="O3:O5"/>
    <mergeCell ref="B7:B28"/>
    <mergeCell ref="E7:E23"/>
    <mergeCell ref="E24:E28"/>
    <mergeCell ref="K3:K5"/>
    <mergeCell ref="L3:L5"/>
    <mergeCell ref="M3:M5"/>
    <mergeCell ref="N3:N5"/>
    <mergeCell ref="A3:A5"/>
    <mergeCell ref="B3:B5"/>
    <mergeCell ref="C3:C5"/>
    <mergeCell ref="D3:D5"/>
    <mergeCell ref="E3:E5"/>
  </mergeCells>
  <printOptions horizontalCentered="1"/>
  <pageMargins left="0.196850393700787" right="0.43307086614173201" top="0.511811023622047" bottom="0.90551181102362199" header="0.31496062992126" footer="0.31496062992126"/>
  <pageSetup paperSize="5" scale="67" orientation="landscape" r:id="rId1"/>
  <headerFooter>
    <oddFooter>Page &amp;P of &amp;N</oddFooter>
  </headerFooter>
  <rowBreaks count="1" manualBreakCount="1">
    <brk id="43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topLeftCell="A10" zoomScaleNormal="100" zoomScaleSheetLayoutView="100" workbookViewId="0">
      <selection activeCell="F19" sqref="F19"/>
    </sheetView>
  </sheetViews>
  <sheetFormatPr defaultColWidth="8.85546875" defaultRowHeight="15.75"/>
  <cols>
    <col min="1" max="1" width="25.5703125" style="18" customWidth="1"/>
    <col min="2" max="2" width="22.42578125" style="18" customWidth="1"/>
    <col min="3" max="3" width="21.7109375" style="18" customWidth="1"/>
    <col min="4" max="4" width="19.7109375" style="18" customWidth="1"/>
    <col min="5" max="5" width="20.7109375" style="18" customWidth="1"/>
    <col min="6" max="6" width="19" style="18" customWidth="1"/>
    <col min="7" max="7" width="8.85546875" style="18"/>
    <col min="8" max="8" width="17.28515625" style="18" bestFit="1" customWidth="1"/>
    <col min="9" max="16384" width="8.85546875" style="18"/>
  </cols>
  <sheetData>
    <row r="1" spans="1:8" ht="30" customHeight="1">
      <c r="A1" s="392" t="s">
        <v>157</v>
      </c>
      <c r="B1" s="392"/>
      <c r="C1" s="392"/>
      <c r="D1" s="392"/>
      <c r="E1" s="392"/>
      <c r="F1" s="392"/>
    </row>
    <row r="2" spans="1:8" ht="30" customHeight="1">
      <c r="A2" s="19"/>
      <c r="B2" s="19"/>
      <c r="C2" s="19"/>
      <c r="D2" s="19"/>
      <c r="E2" s="19"/>
      <c r="F2" s="19" t="s">
        <v>158</v>
      </c>
    </row>
    <row r="3" spans="1:8" s="19" customFormat="1" ht="30" customHeight="1">
      <c r="A3" s="20" t="s">
        <v>159</v>
      </c>
      <c r="B3" s="21" t="s">
        <v>160</v>
      </c>
      <c r="C3" s="21" t="s">
        <v>161</v>
      </c>
      <c r="D3" s="21" t="s">
        <v>162</v>
      </c>
      <c r="E3" s="21" t="s">
        <v>163</v>
      </c>
      <c r="F3" s="21" t="s">
        <v>164</v>
      </c>
    </row>
    <row r="4" spans="1:8" ht="30" customHeight="1">
      <c r="A4" s="22">
        <v>44652</v>
      </c>
      <c r="B4" s="23">
        <v>342562769</v>
      </c>
      <c r="C4" s="23">
        <v>0</v>
      </c>
      <c r="D4" s="23">
        <v>33562009</v>
      </c>
      <c r="E4" s="23">
        <v>0</v>
      </c>
      <c r="F4" s="23">
        <f>SUM(B4:E4)</f>
        <v>376124778</v>
      </c>
      <c r="H4" s="24"/>
    </row>
    <row r="5" spans="1:8" ht="30" customHeight="1">
      <c r="A5" s="22">
        <v>44682</v>
      </c>
      <c r="B5" s="23">
        <v>350768193</v>
      </c>
      <c r="C5" s="23">
        <v>0</v>
      </c>
      <c r="D5" s="23">
        <v>805119</v>
      </c>
      <c r="E5" s="23">
        <v>0</v>
      </c>
      <c r="F5" s="23">
        <f t="shared" ref="F5:F17" si="0">SUM(B5:E5)</f>
        <v>351573312</v>
      </c>
      <c r="H5" s="24"/>
    </row>
    <row r="6" spans="1:8" ht="30" customHeight="1">
      <c r="A6" s="22">
        <v>44713</v>
      </c>
      <c r="B6" s="23">
        <v>336291864</v>
      </c>
      <c r="C6" s="23">
        <v>0</v>
      </c>
      <c r="D6" s="23">
        <v>748497</v>
      </c>
      <c r="E6" s="23">
        <v>0</v>
      </c>
      <c r="F6" s="23">
        <f t="shared" si="0"/>
        <v>337040361</v>
      </c>
      <c r="H6" s="24"/>
    </row>
    <row r="7" spans="1:8" ht="30" customHeight="1">
      <c r="A7" s="22">
        <v>44743</v>
      </c>
      <c r="B7" s="23">
        <v>309876743</v>
      </c>
      <c r="C7" s="23">
        <v>0</v>
      </c>
      <c r="D7" s="23">
        <v>100293079</v>
      </c>
      <c r="E7" s="23">
        <v>0</v>
      </c>
      <c r="F7" s="23">
        <f t="shared" si="0"/>
        <v>410169822</v>
      </c>
      <c r="H7" s="24"/>
    </row>
    <row r="8" spans="1:8" ht="30" customHeight="1">
      <c r="A8" s="22">
        <v>44774</v>
      </c>
      <c r="B8" s="23">
        <v>334308494</v>
      </c>
      <c r="C8" s="23">
        <v>0</v>
      </c>
      <c r="D8" s="23">
        <v>13437069</v>
      </c>
      <c r="E8" s="23">
        <v>0</v>
      </c>
      <c r="F8" s="23">
        <f t="shared" si="0"/>
        <v>347745563</v>
      </c>
      <c r="H8" s="24"/>
    </row>
    <row r="9" spans="1:8" ht="30" customHeight="1">
      <c r="A9" s="22">
        <v>44805</v>
      </c>
      <c r="B9" s="23">
        <v>298749169</v>
      </c>
      <c r="C9" s="23">
        <v>0</v>
      </c>
      <c r="D9" s="23">
        <v>13338470</v>
      </c>
      <c r="E9" s="23">
        <v>0</v>
      </c>
      <c r="F9" s="23">
        <f t="shared" si="0"/>
        <v>312087639</v>
      </c>
      <c r="H9" s="24"/>
    </row>
    <row r="10" spans="1:8" ht="30" customHeight="1">
      <c r="A10" s="22">
        <v>44835</v>
      </c>
      <c r="B10" s="23">
        <f>341838993-1</f>
        <v>341838992</v>
      </c>
      <c r="C10" s="23">
        <v>0</v>
      </c>
      <c r="D10" s="23">
        <v>62934294</v>
      </c>
      <c r="E10" s="23">
        <v>0</v>
      </c>
      <c r="F10" s="23">
        <f t="shared" si="0"/>
        <v>404773286</v>
      </c>
      <c r="H10" s="24"/>
    </row>
    <row r="11" spans="1:8" ht="30" customHeight="1">
      <c r="A11" s="22">
        <v>44866</v>
      </c>
      <c r="B11" s="23">
        <v>0</v>
      </c>
      <c r="C11" s="23">
        <v>327636896</v>
      </c>
      <c r="D11" s="23">
        <v>33499762</v>
      </c>
      <c r="E11" s="23">
        <v>0</v>
      </c>
      <c r="F11" s="23">
        <f t="shared" si="0"/>
        <v>361136658</v>
      </c>
      <c r="H11" s="24"/>
    </row>
    <row r="12" spans="1:8" ht="30" customHeight="1">
      <c r="A12" s="22">
        <v>44896</v>
      </c>
      <c r="B12" s="23">
        <v>329167410</v>
      </c>
      <c r="C12" s="23">
        <v>0</v>
      </c>
      <c r="D12" s="23">
        <v>32781151</v>
      </c>
      <c r="E12" s="23">
        <v>0</v>
      </c>
      <c r="F12" s="23">
        <f t="shared" si="0"/>
        <v>361948561</v>
      </c>
      <c r="H12" s="24"/>
    </row>
    <row r="13" spans="1:8" ht="30" customHeight="1">
      <c r="A13" s="22">
        <v>44927</v>
      </c>
      <c r="B13" s="23">
        <v>332921002</v>
      </c>
      <c r="C13" s="23">
        <v>0</v>
      </c>
      <c r="D13" s="23">
        <v>65476995</v>
      </c>
      <c r="E13" s="23">
        <v>0</v>
      </c>
      <c r="F13" s="23">
        <f t="shared" si="0"/>
        <v>398397997</v>
      </c>
      <c r="H13" s="24"/>
    </row>
    <row r="14" spans="1:8" ht="30" customHeight="1">
      <c r="A14" s="22">
        <v>44958</v>
      </c>
      <c r="B14" s="23">
        <v>296734741</v>
      </c>
      <c r="C14" s="23">
        <v>0</v>
      </c>
      <c r="D14" s="23">
        <v>32697499</v>
      </c>
      <c r="E14" s="23">
        <v>0</v>
      </c>
      <c r="F14" s="23">
        <f t="shared" si="0"/>
        <v>329432240</v>
      </c>
      <c r="H14" s="24"/>
    </row>
    <row r="15" spans="1:8" ht="30" customHeight="1">
      <c r="A15" s="22">
        <v>44986</v>
      </c>
      <c r="B15" s="23">
        <v>279109605</v>
      </c>
      <c r="C15" s="23">
        <v>0</v>
      </c>
      <c r="D15" s="23">
        <v>31312106</v>
      </c>
      <c r="E15" s="23">
        <v>0</v>
      </c>
      <c r="F15" s="23">
        <f t="shared" si="0"/>
        <v>310421711</v>
      </c>
      <c r="H15" s="24"/>
    </row>
    <row r="16" spans="1:8" ht="39" customHeight="1">
      <c r="A16" s="25" t="s">
        <v>165</v>
      </c>
      <c r="B16" s="23">
        <v>0</v>
      </c>
      <c r="C16" s="23">
        <v>0</v>
      </c>
      <c r="D16" s="23">
        <f>35328574-5786348</f>
        <v>29542226</v>
      </c>
      <c r="E16" s="23">
        <v>25007281</v>
      </c>
      <c r="F16" s="23">
        <f t="shared" si="0"/>
        <v>54549507</v>
      </c>
      <c r="H16" s="24"/>
    </row>
    <row r="17" spans="1:8" ht="37.9" customHeight="1">
      <c r="A17" s="25" t="s">
        <v>166</v>
      </c>
      <c r="B17" s="23">
        <v>0</v>
      </c>
      <c r="C17" s="23">
        <v>0</v>
      </c>
      <c r="D17" s="23">
        <v>-255444502</v>
      </c>
      <c r="E17" s="23">
        <v>0</v>
      </c>
      <c r="F17" s="23">
        <f t="shared" si="0"/>
        <v>-255444502</v>
      </c>
      <c r="H17" s="24"/>
    </row>
    <row r="18" spans="1:8" s="28" customFormat="1" ht="30" customHeight="1">
      <c r="A18" s="26" t="s">
        <v>71</v>
      </c>
      <c r="B18" s="27">
        <f>SUM(B4:B17)</f>
        <v>3552328982</v>
      </c>
      <c r="C18" s="27">
        <f>SUM(C4:C17)</f>
        <v>327636896</v>
      </c>
      <c r="D18" s="27">
        <f t="shared" ref="D18:F18" si="1">SUM(D4:D17)</f>
        <v>194983774</v>
      </c>
      <c r="E18" s="27">
        <f t="shared" si="1"/>
        <v>25007281</v>
      </c>
      <c r="F18" s="27">
        <f t="shared" si="1"/>
        <v>4099956933</v>
      </c>
      <c r="H18" s="29"/>
    </row>
    <row r="19" spans="1:8" ht="30" customHeight="1">
      <c r="B19" s="30"/>
      <c r="D19" s="24"/>
      <c r="F19" s="31">
        <f>F18/10^7</f>
        <v>409.99569330000003</v>
      </c>
    </row>
    <row r="20" spans="1:8" ht="30" customHeight="1">
      <c r="C20" s="32"/>
      <c r="D20" s="32"/>
      <c r="E20" s="32"/>
      <c r="F20" s="30"/>
    </row>
    <row r="21" spans="1:8" ht="30" customHeight="1">
      <c r="F21" s="31"/>
    </row>
    <row r="22" spans="1:8">
      <c r="H22" s="24"/>
    </row>
    <row r="23" spans="1:8">
      <c r="H23" s="24"/>
    </row>
  </sheetData>
  <mergeCells count="1">
    <mergeCell ref="A1:F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 (2)</vt:lpstr>
      <vt:lpstr>O&amp;M</vt:lpstr>
      <vt:lpstr>Rev from OA</vt:lpstr>
      <vt:lpstr>Note 11 Fixed Assests 23-24</vt:lpstr>
      <vt:lpstr>Note 11 Fixed Assests</vt:lpstr>
      <vt:lpstr>Loan Balances</vt:lpstr>
      <vt:lpstr>Interest Expense</vt:lpstr>
      <vt:lpstr>'Loan Balances'!Print_Area</vt:lpstr>
      <vt:lpstr>'Note 11 Fixed Assests'!Print_Area</vt:lpstr>
      <vt:lpstr>'Note 11 Fixed Assests 23-24'!Print_Area</vt:lpstr>
      <vt:lpstr>'Rev from OA'!Print_Area</vt:lpstr>
      <vt:lpstr>'Summary (2)'!Print_Area</vt:lpstr>
      <vt:lpstr>'Rev from OA'!Print_Titles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cp:lastPrinted>2024-11-22T08:36:08Z</cp:lastPrinted>
  <dcterms:created xsi:type="dcterms:W3CDTF">2023-10-03T06:10:59Z</dcterms:created>
  <dcterms:modified xsi:type="dcterms:W3CDTF">2025-01-28T06:37:27Z</dcterms:modified>
</cp:coreProperties>
</file>